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marce\Desktop\"/>
    </mc:Choice>
  </mc:AlternateContent>
  <xr:revisionPtr revIDLastSave="0" documentId="13_ncr:1_{AC1E3BA4-8FC3-4565-A6DF-85BB6090E526}" xr6:coauthVersionLast="43" xr6:coauthVersionMax="43" xr10:uidLastSave="{00000000-0000-0000-0000-000000000000}"/>
  <bookViews>
    <workbookView xWindow="-120" yWindow="-120" windowWidth="19440" windowHeight="10440" tabRatio="675" xr2:uid="{00000000-000D-0000-FFFF-FFFF00000000}"/>
  </bookViews>
  <sheets>
    <sheet name="ATUALIZA-HR-NOTURNA" sheetId="1" r:id="rId1"/>
    <sheet name="SELIC" sheetId="4" r:id="rId2"/>
    <sheet name="IPCA-E ATÉ 12-2021" sheetId="3" r:id="rId3"/>
    <sheet name="POUPANÇA ATÉ 12-2021" sheetId="5" r:id="rId4"/>
    <sheet name="POUPANÇA 16-22" sheetId="2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4" l="1"/>
  <c r="F25" i="4" s="1"/>
  <c r="F24" i="4" s="1"/>
  <c r="F23" i="4" s="1"/>
  <c r="F22" i="4" s="1"/>
  <c r="F21" i="4" s="1"/>
  <c r="F20" i="4" s="1"/>
  <c r="F19" i="4" s="1"/>
  <c r="F18" i="4" s="1"/>
  <c r="F17" i="4" s="1"/>
  <c r="F16" i="4" s="1"/>
  <c r="F15" i="4" s="1"/>
  <c r="F14" i="4" s="1"/>
  <c r="F13" i="4" s="1"/>
  <c r="F12" i="4" s="1"/>
  <c r="F11" i="4" s="1"/>
  <c r="F10" i="4" s="1"/>
  <c r="F9" i="4" s="1"/>
  <c r="F8" i="4" s="1"/>
  <c r="F7" i="4" s="1"/>
  <c r="F6" i="4" s="1"/>
  <c r="F5" i="4" s="1"/>
  <c r="F4" i="4" s="1"/>
  <c r="J65" i="1" l="1"/>
  <c r="J66" i="1"/>
  <c r="J67" i="1"/>
  <c r="J68" i="1"/>
  <c r="J69" i="1"/>
  <c r="J70" i="1"/>
  <c r="J71" i="1"/>
  <c r="J72" i="1"/>
  <c r="J73" i="1"/>
  <c r="J75" i="1" s="1"/>
  <c r="J64" i="1"/>
  <c r="J63" i="1"/>
  <c r="J51" i="1"/>
  <c r="J52" i="1"/>
  <c r="J53" i="1"/>
  <c r="J54" i="1"/>
  <c r="J55" i="1"/>
  <c r="J56" i="1"/>
  <c r="J57" i="1"/>
  <c r="J58" i="1"/>
  <c r="J59" i="1"/>
  <c r="J60" i="1"/>
  <c r="J50" i="1"/>
  <c r="J49" i="1"/>
  <c r="E26" i="4"/>
  <c r="E25" i="4"/>
  <c r="E24" i="4"/>
  <c r="E23" i="4"/>
  <c r="E22" i="4"/>
  <c r="E21" i="4"/>
  <c r="E20" i="4"/>
  <c r="E19" i="4"/>
  <c r="E18" i="4"/>
  <c r="E17" i="4"/>
  <c r="E16" i="4"/>
  <c r="E5" i="4"/>
  <c r="E6" i="4"/>
  <c r="E7" i="4"/>
  <c r="E8" i="4"/>
  <c r="E9" i="4"/>
  <c r="E10" i="4"/>
  <c r="E11" i="4"/>
  <c r="E12" i="4"/>
  <c r="E13" i="4"/>
  <c r="E14" i="4"/>
  <c r="E15" i="4"/>
  <c r="E4" i="4"/>
  <c r="D53" i="5"/>
  <c r="E53" i="5" s="1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E52" i="5" l="1"/>
  <c r="E51" i="5" s="1"/>
  <c r="E50" i="5" s="1"/>
  <c r="E49" i="5" s="1"/>
  <c r="E48" i="5" s="1"/>
  <c r="E47" i="5" s="1"/>
  <c r="E46" i="5" s="1"/>
  <c r="E45" i="5" s="1"/>
  <c r="E44" i="5" s="1"/>
  <c r="E43" i="5" s="1"/>
  <c r="E42" i="5" s="1"/>
  <c r="E41" i="5" s="1"/>
  <c r="E40" i="5" s="1"/>
  <c r="E39" i="5" s="1"/>
  <c r="E38" i="5" s="1"/>
  <c r="E37" i="5" s="1"/>
  <c r="E36" i="5" s="1"/>
  <c r="E35" i="5" s="1"/>
  <c r="E34" i="5" s="1"/>
  <c r="E33" i="5" s="1"/>
  <c r="E32" i="5" s="1"/>
  <c r="E31" i="5" s="1"/>
  <c r="E30" i="5" s="1"/>
  <c r="E29" i="5" s="1"/>
  <c r="E28" i="5" s="1"/>
  <c r="E27" i="5" s="1"/>
  <c r="E26" i="5" s="1"/>
  <c r="E25" i="5" s="1"/>
  <c r="E24" i="5" s="1"/>
  <c r="E23" i="5" s="1"/>
  <c r="E22" i="5" s="1"/>
  <c r="E21" i="5" s="1"/>
  <c r="E20" i="5" s="1"/>
  <c r="E19" i="5" s="1"/>
  <c r="E18" i="5" s="1"/>
  <c r="E17" i="5" s="1"/>
  <c r="E16" i="5" s="1"/>
  <c r="E15" i="5" s="1"/>
  <c r="E14" i="5" s="1"/>
  <c r="E13" i="5" s="1"/>
  <c r="E12" i="5" s="1"/>
  <c r="E11" i="5" s="1"/>
  <c r="E10" i="5" s="1"/>
  <c r="E9" i="5" s="1"/>
  <c r="E8" i="5" s="1"/>
  <c r="E7" i="5" s="1"/>
  <c r="E6" i="5" s="1"/>
  <c r="E5" i="5" s="1"/>
  <c r="K22" i="1"/>
  <c r="K36" i="1"/>
  <c r="K40" i="1"/>
  <c r="K35" i="1"/>
  <c r="K9" i="1"/>
  <c r="K23" i="1"/>
  <c r="K27" i="1"/>
  <c r="K33" i="1"/>
  <c r="K37" i="1"/>
  <c r="K41" i="1"/>
  <c r="K29" i="1"/>
  <c r="K39" i="1"/>
  <c r="K6" i="1"/>
  <c r="K20" i="1"/>
  <c r="K24" i="1"/>
  <c r="K28" i="1"/>
  <c r="K34" i="1"/>
  <c r="K38" i="1"/>
  <c r="K42" i="1"/>
  <c r="J61" i="1"/>
  <c r="D3" i="3"/>
  <c r="D4" i="3"/>
  <c r="D5" i="3"/>
  <c r="D6" i="3"/>
  <c r="D7" i="3"/>
  <c r="D8" i="3"/>
  <c r="D9" i="3"/>
  <c r="D10" i="3"/>
  <c r="D11" i="3"/>
  <c r="D12" i="3"/>
  <c r="D13" i="3"/>
  <c r="D14" i="3"/>
  <c r="D16" i="3"/>
  <c r="D17" i="3"/>
  <c r="D18" i="3"/>
  <c r="D19" i="3"/>
  <c r="D20" i="3"/>
  <c r="D21" i="3"/>
  <c r="D22" i="3"/>
  <c r="D23" i="3"/>
  <c r="D24" i="3"/>
  <c r="D25" i="3"/>
  <c r="D26" i="3"/>
  <c r="D27" i="3"/>
  <c r="D29" i="3"/>
  <c r="D30" i="3"/>
  <c r="D31" i="3"/>
  <c r="D32" i="3"/>
  <c r="D33" i="3"/>
  <c r="D34" i="3"/>
  <c r="D35" i="3"/>
  <c r="D36" i="3"/>
  <c r="D37" i="3"/>
  <c r="D38" i="3"/>
  <c r="D39" i="3"/>
  <c r="D40" i="3"/>
  <c r="D42" i="3"/>
  <c r="D43" i="3"/>
  <c r="D44" i="3"/>
  <c r="D45" i="3"/>
  <c r="D46" i="3"/>
  <c r="D47" i="3"/>
  <c r="D48" i="3"/>
  <c r="D49" i="3"/>
  <c r="D50" i="3"/>
  <c r="D51" i="3"/>
  <c r="D52" i="3"/>
  <c r="D53" i="3"/>
  <c r="D55" i="3"/>
  <c r="D56" i="3"/>
  <c r="D57" i="3"/>
  <c r="D58" i="3"/>
  <c r="D59" i="3"/>
  <c r="D60" i="3"/>
  <c r="D61" i="3"/>
  <c r="D62" i="3"/>
  <c r="D63" i="3"/>
  <c r="D64" i="3"/>
  <c r="D65" i="3"/>
  <c r="D66" i="3"/>
  <c r="D68" i="3"/>
  <c r="D69" i="3"/>
  <c r="D70" i="3"/>
  <c r="D71" i="3"/>
  <c r="D72" i="3"/>
  <c r="D73" i="3"/>
  <c r="D74" i="3"/>
  <c r="D75" i="3"/>
  <c r="D76" i="3"/>
  <c r="D77" i="3"/>
  <c r="D78" i="3"/>
  <c r="D79" i="3"/>
  <c r="K18" i="1" l="1"/>
  <c r="K7" i="1"/>
  <c r="K43" i="1"/>
  <c r="K5" i="1"/>
  <c r="K14" i="1"/>
  <c r="K19" i="1"/>
  <c r="K32" i="1"/>
  <c r="K12" i="1"/>
  <c r="K25" i="1"/>
  <c r="K4" i="1"/>
  <c r="K10" i="1"/>
  <c r="K21" i="1"/>
  <c r="K13" i="1"/>
  <c r="K15" i="1"/>
  <c r="K26" i="1"/>
  <c r="K8" i="1"/>
  <c r="K11" i="1"/>
  <c r="J62" i="1"/>
  <c r="F53" i="1"/>
  <c r="G53" i="1" s="1"/>
  <c r="H53" i="1" s="1"/>
  <c r="I53" i="1" s="1"/>
  <c r="F54" i="1"/>
  <c r="G54" i="1" s="1"/>
  <c r="H54" i="1" s="1"/>
  <c r="I54" i="1" s="1"/>
  <c r="F55" i="1"/>
  <c r="G55" i="1" s="1"/>
  <c r="H55" i="1" s="1"/>
  <c r="I55" i="1" s="1"/>
  <c r="F56" i="1"/>
  <c r="G56" i="1" s="1"/>
  <c r="H56" i="1" s="1"/>
  <c r="I56" i="1" s="1"/>
  <c r="F57" i="1"/>
  <c r="G57" i="1" s="1"/>
  <c r="H57" i="1" s="1"/>
  <c r="I57" i="1" s="1"/>
  <c r="F58" i="1"/>
  <c r="G58" i="1" s="1"/>
  <c r="H58" i="1" s="1"/>
  <c r="I58" i="1" s="1"/>
  <c r="F59" i="1"/>
  <c r="G59" i="1" s="1"/>
  <c r="H59" i="1" s="1"/>
  <c r="I59" i="1" s="1"/>
  <c r="F60" i="1"/>
  <c r="G60" i="1" s="1"/>
  <c r="H60" i="1" s="1"/>
  <c r="I60" i="1" s="1"/>
  <c r="F63" i="1"/>
  <c r="G63" i="1" s="1"/>
  <c r="H63" i="1" s="1"/>
  <c r="I63" i="1" s="1"/>
  <c r="F64" i="1"/>
  <c r="G64" i="1" s="1"/>
  <c r="H64" i="1" s="1"/>
  <c r="I64" i="1" s="1"/>
  <c r="F65" i="1"/>
  <c r="G65" i="1" s="1"/>
  <c r="H65" i="1" s="1"/>
  <c r="I65" i="1" s="1"/>
  <c r="F66" i="1"/>
  <c r="G66" i="1"/>
  <c r="H66" i="1" s="1"/>
  <c r="I66" i="1" s="1"/>
  <c r="F67" i="1"/>
  <c r="G67" i="1" s="1"/>
  <c r="H67" i="1" s="1"/>
  <c r="I67" i="1" s="1"/>
  <c r="F68" i="1"/>
  <c r="G68" i="1" s="1"/>
  <c r="H68" i="1" s="1"/>
  <c r="I68" i="1" s="1"/>
  <c r="F69" i="1"/>
  <c r="G69" i="1" s="1"/>
  <c r="H69" i="1" s="1"/>
  <c r="I69" i="1" s="1"/>
  <c r="F70" i="1"/>
  <c r="G70" i="1" s="1"/>
  <c r="H70" i="1" s="1"/>
  <c r="I70" i="1" s="1"/>
  <c r="F71" i="1"/>
  <c r="G71" i="1" s="1"/>
  <c r="H71" i="1" s="1"/>
  <c r="I71" i="1" s="1"/>
  <c r="F72" i="1"/>
  <c r="G72" i="1" s="1"/>
  <c r="H72" i="1" s="1"/>
  <c r="I72" i="1" s="1"/>
  <c r="F73" i="1"/>
  <c r="G73" i="1" s="1"/>
  <c r="H73" i="1" s="1"/>
  <c r="I73" i="1" s="1"/>
  <c r="F74" i="1"/>
  <c r="G74" i="1" s="1"/>
  <c r="H74" i="1" s="1"/>
  <c r="I74" i="1" s="1"/>
  <c r="I75" i="1" l="1"/>
  <c r="I76" i="1"/>
  <c r="L60" i="1"/>
  <c r="E89" i="2"/>
  <c r="D79" i="2"/>
  <c r="D80" i="2"/>
  <c r="D81" i="2"/>
  <c r="D82" i="2"/>
  <c r="D83" i="2"/>
  <c r="D84" i="2"/>
  <c r="D85" i="2"/>
  <c r="D86" i="2"/>
  <c r="D87" i="2"/>
  <c r="D88" i="2"/>
  <c r="E88" i="2" s="1"/>
  <c r="D78" i="2"/>
  <c r="D89" i="2"/>
  <c r="D70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1" i="2"/>
  <c r="D72" i="2"/>
  <c r="D73" i="2"/>
  <c r="D74" i="2"/>
  <c r="D75" i="2"/>
  <c r="D76" i="2"/>
  <c r="D77" i="2"/>
  <c r="D42" i="2"/>
  <c r="D43" i="2"/>
  <c r="D44" i="2"/>
  <c r="D45" i="2"/>
  <c r="D46" i="2"/>
  <c r="D47" i="2"/>
  <c r="D21" i="2"/>
  <c r="D22" i="2"/>
  <c r="D23" i="2"/>
  <c r="E21" i="2" s="1"/>
  <c r="D24" i="2"/>
  <c r="D25" i="2"/>
  <c r="D26" i="2"/>
  <c r="D27" i="2"/>
  <c r="E26" i="2" s="1"/>
  <c r="D28" i="2"/>
  <c r="D29" i="2"/>
  <c r="D30" i="2"/>
  <c r="D31" i="2"/>
  <c r="E29" i="2" s="1"/>
  <c r="D32" i="2"/>
  <c r="D33" i="2"/>
  <c r="D34" i="2"/>
  <c r="D35" i="2"/>
  <c r="E34" i="2" s="1"/>
  <c r="D36" i="2"/>
  <c r="D37" i="2"/>
  <c r="D38" i="2"/>
  <c r="D39" i="2"/>
  <c r="E37" i="2" s="1"/>
  <c r="D40" i="2"/>
  <c r="D41" i="2"/>
  <c r="D17" i="2"/>
  <c r="D18" i="2"/>
  <c r="E18" i="2" s="1"/>
  <c r="D19" i="2"/>
  <c r="D20" i="2"/>
  <c r="F50" i="1"/>
  <c r="G50" i="1" s="1"/>
  <c r="H50" i="1" s="1"/>
  <c r="I50" i="1" s="1"/>
  <c r="F51" i="1"/>
  <c r="G51" i="1" s="1"/>
  <c r="H51" i="1" s="1"/>
  <c r="I51" i="1" s="1"/>
  <c r="F52" i="1"/>
  <c r="G52" i="1" s="1"/>
  <c r="H52" i="1" s="1"/>
  <c r="I52" i="1" s="1"/>
  <c r="F33" i="1"/>
  <c r="G33" i="1" s="1"/>
  <c r="H33" i="1" s="1"/>
  <c r="I33" i="1" s="1"/>
  <c r="F34" i="1"/>
  <c r="G34" i="1" s="1"/>
  <c r="H34" i="1" s="1"/>
  <c r="I34" i="1" s="1"/>
  <c r="F35" i="1"/>
  <c r="G35" i="1" s="1"/>
  <c r="H35" i="1" s="1"/>
  <c r="I35" i="1" s="1"/>
  <c r="F36" i="1"/>
  <c r="G36" i="1" s="1"/>
  <c r="H36" i="1" s="1"/>
  <c r="I36" i="1" s="1"/>
  <c r="F37" i="1"/>
  <c r="G37" i="1" s="1"/>
  <c r="H37" i="1" s="1"/>
  <c r="I37" i="1" s="1"/>
  <c r="F38" i="1"/>
  <c r="G38" i="1" s="1"/>
  <c r="H38" i="1" s="1"/>
  <c r="I38" i="1" s="1"/>
  <c r="F39" i="1"/>
  <c r="G39" i="1" s="1"/>
  <c r="H39" i="1" s="1"/>
  <c r="I39" i="1" s="1"/>
  <c r="F40" i="1"/>
  <c r="G40" i="1" s="1"/>
  <c r="H40" i="1" s="1"/>
  <c r="I40" i="1" s="1"/>
  <c r="F41" i="1"/>
  <c r="G41" i="1" s="1"/>
  <c r="H41" i="1" s="1"/>
  <c r="I41" i="1" s="1"/>
  <c r="F42" i="1"/>
  <c r="G42" i="1" s="1"/>
  <c r="H42" i="1" s="1"/>
  <c r="I42" i="1" s="1"/>
  <c r="F43" i="1"/>
  <c r="G43" i="1" s="1"/>
  <c r="H43" i="1" s="1"/>
  <c r="I43" i="1" s="1"/>
  <c r="F32" i="1"/>
  <c r="G32" i="1" s="1"/>
  <c r="H32" i="1" s="1"/>
  <c r="I32" i="1" s="1"/>
  <c r="E19" i="2" l="1"/>
  <c r="E86" i="2"/>
  <c r="L58" i="1"/>
  <c r="E85" i="2"/>
  <c r="E5" i="2"/>
  <c r="E81" i="2"/>
  <c r="L53" i="1" s="1"/>
  <c r="E68" i="2"/>
  <c r="E56" i="2"/>
  <c r="E52" i="2"/>
  <c r="E84" i="2"/>
  <c r="L56" i="1" s="1"/>
  <c r="E64" i="2"/>
  <c r="E60" i="2"/>
  <c r="E48" i="2"/>
  <c r="E40" i="2"/>
  <c r="K75" i="1" s="1"/>
  <c r="K76" i="1" s="1"/>
  <c r="E47" i="2"/>
  <c r="L57" i="1"/>
  <c r="E80" i="2"/>
  <c r="E75" i="2"/>
  <c r="E66" i="2"/>
  <c r="E62" i="2"/>
  <c r="E82" i="2"/>
  <c r="L54" i="1" s="1"/>
  <c r="E33" i="2"/>
  <c r="E65" i="2"/>
  <c r="E76" i="2"/>
  <c r="E41" i="2"/>
  <c r="E73" i="2"/>
  <c r="E58" i="2"/>
  <c r="E54" i="2"/>
  <c r="E50" i="2"/>
  <c r="E17" i="2"/>
  <c r="E49" i="2"/>
  <c r="E46" i="2"/>
  <c r="E42" i="2"/>
  <c r="E74" i="2"/>
  <c r="E69" i="2"/>
  <c r="E61" i="2"/>
  <c r="E53" i="2"/>
  <c r="E78" i="2"/>
  <c r="L50" i="1" s="1"/>
  <c r="E25" i="2"/>
  <c r="E57" i="2"/>
  <c r="I62" i="1"/>
  <c r="I61" i="1"/>
  <c r="E20" i="2"/>
  <c r="E44" i="2"/>
  <c r="E72" i="2"/>
  <c r="E67" i="2"/>
  <c r="E63" i="2"/>
  <c r="E59" i="2"/>
  <c r="E55" i="2"/>
  <c r="E51" i="2"/>
  <c r="E87" i="2"/>
  <c r="L59" i="1" s="1"/>
  <c r="E83" i="2"/>
  <c r="L55" i="1" s="1"/>
  <c r="E79" i="2"/>
  <c r="L51" i="1" s="1"/>
  <c r="E43" i="2"/>
  <c r="E71" i="2"/>
  <c r="E45" i="2"/>
  <c r="E77" i="2"/>
  <c r="E36" i="2"/>
  <c r="E32" i="2"/>
  <c r="E28" i="2"/>
  <c r="E24" i="2"/>
  <c r="E39" i="2"/>
  <c r="E35" i="2"/>
  <c r="E31" i="2"/>
  <c r="E27" i="2"/>
  <c r="E23" i="2"/>
  <c r="E22" i="2"/>
  <c r="E30" i="2"/>
  <c r="E38" i="2"/>
  <c r="E70" i="2"/>
  <c r="L52" i="1"/>
  <c r="L63" i="1"/>
  <c r="L68" i="1"/>
  <c r="L71" i="1"/>
  <c r="J4" i="1"/>
  <c r="J5" i="1"/>
  <c r="J6" i="1"/>
  <c r="J7" i="1"/>
  <c r="J8" i="1"/>
  <c r="J9" i="1"/>
  <c r="J10" i="1"/>
  <c r="J11" i="1"/>
  <c r="J12" i="1"/>
  <c r="J13" i="1"/>
  <c r="J14" i="1"/>
  <c r="J15" i="1"/>
  <c r="J18" i="1"/>
  <c r="J19" i="1"/>
  <c r="J20" i="1"/>
  <c r="J21" i="1"/>
  <c r="J22" i="1"/>
  <c r="J23" i="1"/>
  <c r="J24" i="1"/>
  <c r="J25" i="1"/>
  <c r="J26" i="1"/>
  <c r="J27" i="1"/>
  <c r="J28" i="1"/>
  <c r="J29" i="1"/>
  <c r="J44" i="1" s="1"/>
  <c r="J45" i="1" s="1"/>
  <c r="J32" i="1"/>
  <c r="J33" i="1"/>
  <c r="J34" i="1"/>
  <c r="J35" i="1"/>
  <c r="J36" i="1"/>
  <c r="J37" i="1"/>
  <c r="J38" i="1"/>
  <c r="J39" i="1"/>
  <c r="J40" i="1"/>
  <c r="J41" i="1"/>
  <c r="J42" i="1"/>
  <c r="J43" i="1"/>
  <c r="D16" i="2"/>
  <c r="E16" i="2" s="1"/>
  <c r="D15" i="2"/>
  <c r="D14" i="2"/>
  <c r="D13" i="2"/>
  <c r="D12" i="2"/>
  <c r="E12" i="2" s="1"/>
  <c r="D11" i="2"/>
  <c r="D10" i="2"/>
  <c r="D9" i="2"/>
  <c r="D8" i="2"/>
  <c r="E8" i="2" s="1"/>
  <c r="D7" i="2"/>
  <c r="D6" i="2"/>
  <c r="D5" i="2"/>
  <c r="F49" i="1"/>
  <c r="G49" i="1" s="1"/>
  <c r="H49" i="1" s="1"/>
  <c r="I49" i="1" s="1"/>
  <c r="F29" i="1"/>
  <c r="G29" i="1" s="1"/>
  <c r="H29" i="1" s="1"/>
  <c r="I29" i="1" s="1"/>
  <c r="F28" i="1"/>
  <c r="G28" i="1" s="1"/>
  <c r="H28" i="1" s="1"/>
  <c r="I28" i="1" s="1"/>
  <c r="F27" i="1"/>
  <c r="G27" i="1" s="1"/>
  <c r="H27" i="1" s="1"/>
  <c r="I27" i="1" s="1"/>
  <c r="F26" i="1"/>
  <c r="G26" i="1" s="1"/>
  <c r="H26" i="1" s="1"/>
  <c r="I26" i="1" s="1"/>
  <c r="F25" i="1"/>
  <c r="G25" i="1" s="1"/>
  <c r="H25" i="1" s="1"/>
  <c r="I25" i="1" s="1"/>
  <c r="F24" i="1"/>
  <c r="G24" i="1" s="1"/>
  <c r="H24" i="1" s="1"/>
  <c r="I24" i="1" s="1"/>
  <c r="F23" i="1"/>
  <c r="G23" i="1" s="1"/>
  <c r="H23" i="1" s="1"/>
  <c r="I23" i="1" s="1"/>
  <c r="F22" i="1"/>
  <c r="G22" i="1" s="1"/>
  <c r="H22" i="1" s="1"/>
  <c r="I22" i="1" s="1"/>
  <c r="F21" i="1"/>
  <c r="G21" i="1" s="1"/>
  <c r="H21" i="1" s="1"/>
  <c r="I21" i="1" s="1"/>
  <c r="F20" i="1"/>
  <c r="G20" i="1" s="1"/>
  <c r="H20" i="1" s="1"/>
  <c r="I20" i="1" s="1"/>
  <c r="F19" i="1"/>
  <c r="G19" i="1" s="1"/>
  <c r="H19" i="1" s="1"/>
  <c r="I19" i="1" s="1"/>
  <c r="F18" i="1"/>
  <c r="G18" i="1" s="1"/>
  <c r="H18" i="1" s="1"/>
  <c r="I18" i="1" s="1"/>
  <c r="F15" i="1"/>
  <c r="G15" i="1" s="1"/>
  <c r="H15" i="1" s="1"/>
  <c r="I15" i="1" s="1"/>
  <c r="F14" i="1"/>
  <c r="G14" i="1" s="1"/>
  <c r="H14" i="1" s="1"/>
  <c r="I14" i="1" s="1"/>
  <c r="F13" i="1"/>
  <c r="G13" i="1" s="1"/>
  <c r="H13" i="1" s="1"/>
  <c r="I13" i="1" s="1"/>
  <c r="F12" i="1"/>
  <c r="G12" i="1" s="1"/>
  <c r="H12" i="1" s="1"/>
  <c r="I12" i="1" s="1"/>
  <c r="F11" i="1"/>
  <c r="G11" i="1" s="1"/>
  <c r="H11" i="1" s="1"/>
  <c r="I11" i="1" s="1"/>
  <c r="F10" i="1"/>
  <c r="G10" i="1" s="1"/>
  <c r="H10" i="1" s="1"/>
  <c r="I10" i="1" s="1"/>
  <c r="F9" i="1"/>
  <c r="G9" i="1" s="1"/>
  <c r="H9" i="1" s="1"/>
  <c r="I9" i="1" s="1"/>
  <c r="F8" i="1"/>
  <c r="G8" i="1" s="1"/>
  <c r="H8" i="1" s="1"/>
  <c r="I8" i="1" s="1"/>
  <c r="F7" i="1"/>
  <c r="G7" i="1" s="1"/>
  <c r="H7" i="1" s="1"/>
  <c r="I7" i="1" s="1"/>
  <c r="F6" i="1"/>
  <c r="G6" i="1" s="1"/>
  <c r="H6" i="1" s="1"/>
  <c r="I6" i="1" s="1"/>
  <c r="F5" i="1"/>
  <c r="G5" i="1" s="1"/>
  <c r="H5" i="1" s="1"/>
  <c r="I5" i="1" s="1"/>
  <c r="F4" i="1"/>
  <c r="G4" i="1" s="1"/>
  <c r="H4" i="1" s="1"/>
  <c r="I4" i="1" s="1"/>
  <c r="L36" i="1" l="1"/>
  <c r="L70" i="1"/>
  <c r="L23" i="1"/>
  <c r="L9" i="1"/>
  <c r="L19" i="1"/>
  <c r="L42" i="1"/>
  <c r="L27" i="1"/>
  <c r="L41" i="1"/>
  <c r="L33" i="1"/>
  <c r="L40" i="1"/>
  <c r="L67" i="1"/>
  <c r="L66" i="1"/>
  <c r="L69" i="1"/>
  <c r="L72" i="1"/>
  <c r="L64" i="1"/>
  <c r="L5" i="1"/>
  <c r="L13" i="1"/>
  <c r="L73" i="1"/>
  <c r="L65" i="1"/>
  <c r="L74" i="1"/>
  <c r="L61" i="1"/>
  <c r="L62" i="1"/>
  <c r="L39" i="1"/>
  <c r="L34" i="1"/>
  <c r="L8" i="1"/>
  <c r="L12" i="1"/>
  <c r="L43" i="1"/>
  <c r="L38" i="1"/>
  <c r="L37" i="1"/>
  <c r="L35" i="1"/>
  <c r="L7" i="1"/>
  <c r="L11" i="1"/>
  <c r="L15" i="1"/>
  <c r="L21" i="1"/>
  <c r="L25" i="1"/>
  <c r="L29" i="1"/>
  <c r="L6" i="1"/>
  <c r="L10" i="1"/>
  <c r="L14" i="1"/>
  <c r="L20" i="1"/>
  <c r="L24" i="1"/>
  <c r="L28" i="1"/>
  <c r="E9" i="2"/>
  <c r="E13" i="2"/>
  <c r="E6" i="2"/>
  <c r="E10" i="2"/>
  <c r="E14" i="2"/>
  <c r="L22" i="1"/>
  <c r="L26" i="1"/>
  <c r="E7" i="2"/>
  <c r="E11" i="2"/>
  <c r="E15" i="2"/>
  <c r="L4" i="1"/>
  <c r="L49" i="1"/>
  <c r="L18" i="1"/>
  <c r="K30" i="1"/>
  <c r="K31" i="1" s="1"/>
  <c r="K44" i="1"/>
  <c r="K45" i="1" s="1"/>
  <c r="L32" i="1"/>
  <c r="J16" i="1"/>
  <c r="J30" i="1"/>
  <c r="J31" i="1" s="1"/>
  <c r="I31" i="1"/>
  <c r="I30" i="1"/>
  <c r="J17" i="1"/>
  <c r="I45" i="1"/>
  <c r="I44" i="1"/>
  <c r="I17" i="1"/>
  <c r="I16" i="1"/>
  <c r="J76" i="1" l="1"/>
  <c r="L76" i="1" s="1"/>
  <c r="L75" i="1"/>
  <c r="L31" i="1"/>
  <c r="L45" i="1"/>
  <c r="K16" i="1"/>
  <c r="L16" i="1" s="1"/>
  <c r="K17" i="1"/>
  <c r="L17" i="1" s="1"/>
  <c r="L30" i="1"/>
  <c r="L44" i="1"/>
  <c r="L77" i="1" l="1"/>
</calcChain>
</file>

<file path=xl/sharedStrings.xml><?xml version="1.0" encoding="utf-8"?>
<sst xmlns="http://schemas.openxmlformats.org/spreadsheetml/2006/main" count="83" uniqueCount="48">
  <si>
    <t>ORD</t>
  </si>
  <si>
    <t>MÊS/ANO</t>
  </si>
  <si>
    <t>Quantidade de Horas Noturnas</t>
  </si>
  <si>
    <t>Salário</t>
  </si>
  <si>
    <t>ADE</t>
  </si>
  <si>
    <t>Remuneração</t>
  </si>
  <si>
    <t>Valor da Hora Normal (HN / 200)</t>
  </si>
  <si>
    <t>Adicional Hora Noturna  ( 20% HN )</t>
  </si>
  <si>
    <t>Valor do  Adicional Noturno</t>
  </si>
  <si>
    <t>Índice
 ( IPCA-E )</t>
  </si>
  <si>
    <t>Índice
Poupança</t>
  </si>
  <si>
    <t>Valor do Adicional Noturno Atualizado</t>
  </si>
  <si>
    <t>Repercussão no 1/3 de Férias – usar o índice do mês de recebimento das férias</t>
  </si>
  <si>
    <t>Repercussão no  13º Salário – usar o índice de dezembro</t>
  </si>
  <si>
    <t>fonte:</t>
  </si>
  <si>
    <t>https://www3.bcb.gov.br/CALCIDADAO/publico/corrigirPorIndice.do?method=corrigirPorIndice</t>
  </si>
  <si>
    <t>PERCENTUAL</t>
  </si>
  <si>
    <t>unitário</t>
  </si>
  <si>
    <t xml:space="preserve">fonte: </t>
  </si>
  <si>
    <t>https://www.ecalculos.com.br/utilitarios/ipca-e-ibge.php</t>
  </si>
  <si>
    <t>PERCENTURAL</t>
  </si>
  <si>
    <t>INDICE</t>
  </si>
  <si>
    <t>ACUMULADO</t>
  </si>
  <si>
    <t>ATUALIZAÇÃO PELA POUPANÇA</t>
  </si>
  <si>
    <t>obs:</t>
  </si>
  <si>
    <t>No mês de férias não haverá adicional de horas noturnas, nesse exemplo, o mês de janeiro é considerado férias.</t>
  </si>
  <si>
    <r>
      <t>►</t>
    </r>
    <r>
      <rPr>
        <b/>
        <sz val="14"/>
        <rFont val="Times New Roman"/>
        <family val="1"/>
      </rPr>
      <t xml:space="preserve"> </t>
    </r>
    <r>
      <rPr>
        <b/>
        <sz val="14"/>
        <rFont val="Calibri"/>
        <family val="2"/>
      </rPr>
      <t>Calculadora do Cidadão (</t>
    </r>
    <r>
      <rPr>
        <b/>
        <sz val="14"/>
        <color rgb="FF0000FF"/>
        <rFont val="Calibri"/>
        <family val="2"/>
      </rPr>
      <t>atualização monetária</t>
    </r>
    <r>
      <rPr>
        <b/>
        <sz val="14"/>
        <rFont val="Calibri"/>
        <family val="2"/>
      </rPr>
      <t xml:space="preserve">: SELIC) --- </t>
    </r>
    <r>
      <rPr>
        <b/>
        <sz val="14"/>
        <color rgb="FFFF0000"/>
        <rFont val="Calibri"/>
        <family val="2"/>
      </rPr>
      <t xml:space="preserve">a partir de 09/12/2021 </t>
    </r>
    <r>
      <rPr>
        <b/>
        <sz val="14"/>
        <rFont val="Calibri"/>
        <family val="2"/>
      </rPr>
      <t>(publicação do art. 3</t>
    </r>
    <r>
      <rPr>
        <b/>
        <vertAlign val="superscript"/>
        <sz val="14"/>
        <rFont val="Calibri"/>
        <family val="2"/>
      </rPr>
      <t>o</t>
    </r>
    <r>
      <rPr>
        <b/>
        <sz val="14"/>
        <rFont val="Calibri"/>
        <family val="2"/>
      </rPr>
      <t xml:space="preserve"> EC 113/21) </t>
    </r>
    <r>
      <rPr>
        <sz val="14"/>
        <rFont val="Calibri"/>
        <family val="2"/>
      </rPr>
      <t>[</t>
    </r>
    <r>
      <rPr>
        <sz val="14"/>
        <color rgb="FF000000"/>
        <rFont val="Calibri"/>
        <family val="2"/>
      </rPr>
      <t>SELIC é uma espécie de índice que engloba juros e correção monetária]</t>
    </r>
  </si>
  <si>
    <t>Tabela SELIC</t>
  </si>
  <si>
    <t>SELIC</t>
  </si>
  <si>
    <t>SELIC BASE JANEIRO 2023</t>
  </si>
  <si>
    <r>
      <t>►</t>
    </r>
    <r>
      <rPr>
        <b/>
        <sz val="14"/>
        <rFont val="Calibri"/>
        <family val="2"/>
      </rPr>
      <t xml:space="preserve"> Sistema de Cálculo de Débitos Judiciais – CADEJ (</t>
    </r>
    <r>
      <rPr>
        <b/>
        <sz val="14"/>
        <color rgb="FF0000FF"/>
        <rFont val="Calibri"/>
        <family val="2"/>
      </rPr>
      <t>correção monetária</t>
    </r>
    <r>
      <rPr>
        <b/>
        <sz val="14"/>
        <rFont val="Calibri"/>
        <family val="2"/>
      </rPr>
      <t xml:space="preserve">: IPCA-E; </t>
    </r>
    <r>
      <rPr>
        <b/>
        <sz val="14"/>
        <color rgb="FF0000FF"/>
        <rFont val="Calibri"/>
        <family val="2"/>
      </rPr>
      <t>juros de mora</t>
    </r>
    <r>
      <rPr>
        <b/>
        <sz val="14"/>
        <rFont val="Calibri"/>
        <family val="2"/>
      </rPr>
      <t xml:space="preserve">: poupança – 0,5%) --- </t>
    </r>
    <r>
      <rPr>
        <b/>
        <sz val="14"/>
        <color rgb="FFFF0000"/>
        <rFont val="Calibri"/>
        <family val="2"/>
      </rPr>
      <t>até 08/12/2021</t>
    </r>
    <r>
      <rPr>
        <b/>
        <sz val="16"/>
        <color rgb="FFFF0000"/>
        <rFont val="Times New Roman"/>
        <family val="1"/>
      </rPr>
      <t xml:space="preserve"> - </t>
    </r>
    <r>
      <rPr>
        <b/>
        <sz val="16"/>
        <color rgb="FFFF0000"/>
        <rFont val="Calibri"/>
        <family val="2"/>
        <scheme val="minor"/>
      </rPr>
      <t>Aplicado sobre a parcela devida!</t>
    </r>
  </si>
  <si>
    <t>PLANILHA DE HORAS NOTURNAS (60 meses) – DESDE  JANEIRO/2019 ATÉ DEZ/2023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</si>
  <si>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</si>
  <si>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</si>
  <si>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</si>
  <si>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</si>
  <si>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</si>
  <si>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</si>
  <si>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</si>
  <si>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</si>
  <si>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</si>
  <si>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</si>
  <si>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</si>
  <si>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</si>
  <si>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https://www.idealsoftwares.com.br/indices/taxa_selic.html</t>
  </si>
  <si>
    <t>UNITARIO</t>
  </si>
  <si>
    <r>
      <t xml:space="preserve">Atualização financeira utilizando os índices IPCA-E e poupança,  passando para SELIC, no período estabelecido na tabela – Últimos 05 (cinco) anos – 60 (sessenta meses) –  TABELA ATUALIZADA EM: </t>
    </r>
    <r>
      <rPr>
        <b/>
        <sz val="13"/>
        <color rgb="FFFF0000"/>
        <rFont val="Calibri"/>
        <family val="2"/>
      </rPr>
      <t>18/12/2023</t>
    </r>
  </si>
  <si>
    <t>MUDANÇA DO ÍNDICE (IPCA - E  + POUPNÇA)  PARA O ÍNDICE SELIC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</si>
</sst>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[$-416]mmm\-yy;@"/>
    <numFmt numFmtId="165" formatCode="[$-416]#,##0.00"/>
    <numFmt numFmtId="166" formatCode="0.00000"/>
    <numFmt numFmtId="167" formatCode="0.000000"/>
    <numFmt numFmtId="168" formatCode="0.0000000"/>
    <numFmt numFmtId="169" formatCode="0.00000000"/>
    <numFmt numFmtId="170" formatCode="0.000000000"/>
    <numFmt numFmtId="171" formatCode="_-* #,##0.000000_-;\-* #,##0.000000_-;_-* &quot;-&quot;??_-;_-@_-"/>
    <numFmt numFmtId="172" formatCode="_-* #,##0.000000000_-;\-* #,##0.000000000_-;_-* &quot;-&quot;??_-;_-@_-"/>
  </numFmts>
  <fonts count="41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1"/>
      <color rgb="FF3465A4"/>
      <name val="Calibri"/>
      <family val="2"/>
      <charset val="1"/>
    </font>
    <font>
      <b/>
      <sz val="11"/>
      <color rgb="FFFF4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3"/>
      <name val="Calibri"/>
      <family val="2"/>
      <charset val="1"/>
    </font>
    <font>
      <b/>
      <sz val="13"/>
      <color rgb="FFFFFFFF"/>
      <name val="Calibri"/>
      <family val="2"/>
      <charset val="1"/>
    </font>
    <font>
      <b/>
      <sz val="16"/>
      <name val="Cambria"/>
      <family val="1"/>
      <charset val="1"/>
    </font>
    <font>
      <sz val="12"/>
      <name val="Cambria"/>
      <family val="1"/>
      <charset val="1"/>
    </font>
    <font>
      <sz val="11"/>
      <color rgb="FFFF0000"/>
      <name val="Calibri"/>
      <family val="2"/>
      <charset val="1"/>
    </font>
    <font>
      <b/>
      <sz val="12"/>
      <name val="Cambria"/>
      <family val="1"/>
      <charset val="1"/>
    </font>
    <font>
      <sz val="11"/>
      <color theme="0"/>
      <name val="Calibri"/>
      <family val="2"/>
      <charset val="1"/>
    </font>
    <font>
      <sz val="12"/>
      <color theme="0"/>
      <name val="Cambria"/>
      <family val="1"/>
      <charset val="1"/>
    </font>
    <font>
      <u/>
      <sz val="11"/>
      <color theme="1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6"/>
      <color rgb="FFFF0000"/>
      <name val="Times New Roman"/>
      <family val="1"/>
    </font>
    <font>
      <b/>
      <sz val="14"/>
      <name val="Calibri"/>
      <family val="2"/>
    </font>
    <font>
      <b/>
      <sz val="14"/>
      <color rgb="FF0000FF"/>
      <name val="Calibri"/>
      <family val="2"/>
    </font>
    <font>
      <b/>
      <sz val="14"/>
      <color rgb="FFFF0000"/>
      <name val="Calibri"/>
      <family val="2"/>
    </font>
    <font>
      <b/>
      <sz val="11"/>
      <color rgb="FFFF0000"/>
      <name val="Calibri"/>
      <family val="2"/>
    </font>
    <font>
      <b/>
      <sz val="14"/>
      <name val="Times New Roman"/>
      <family val="1"/>
    </font>
    <font>
      <b/>
      <vertAlign val="superscript"/>
      <sz val="14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sz val="10"/>
      <color rgb="FF000000"/>
      <name val="Verdana"/>
      <family val="2"/>
    </font>
    <font>
      <b/>
      <sz val="9"/>
      <color rgb="FFFF0000"/>
      <name val="Arial"/>
      <family val="2"/>
    </font>
    <font>
      <b/>
      <sz val="13"/>
      <color rgb="FFFF0000"/>
      <name val="Calibri"/>
      <family val="2"/>
    </font>
    <font>
      <b/>
      <sz val="16"/>
      <color rgb="FFFF0000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333333"/>
      <name val="Arial"/>
      <family val="2"/>
    </font>
    <font>
      <sz val="9"/>
      <color rgb="FF6F6F6F"/>
      <name val="Arial"/>
      <family val="2"/>
    </font>
    <font>
      <sz val="11"/>
      <color theme="1"/>
      <name val="Calibri"/>
      <family val="2"/>
      <charset val="1"/>
    </font>
    <font>
      <u/>
      <sz val="11"/>
      <color theme="1"/>
      <name val="Calibri"/>
      <family val="2"/>
      <charset val="1"/>
    </font>
    <font>
      <b/>
      <sz val="16"/>
      <color theme="1"/>
      <name val="Cambria"/>
      <family val="1"/>
      <charset val="1"/>
    </font>
    <font>
      <b/>
      <sz val="12"/>
      <color theme="1"/>
      <name val="Cambria"/>
      <family val="1"/>
      <charset val="1"/>
    </font>
    <font>
      <sz val="12"/>
      <color theme="1"/>
      <name val="Cambria"/>
      <family val="1"/>
      <charset val="1"/>
    </font>
    <font>
      <b/>
      <sz val="16"/>
      <color rgb="FFFF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DEE7E5"/>
        <bgColor rgb="FFDDDDDD"/>
      </patternFill>
    </fill>
    <fill>
      <patternFill patternType="solid">
        <fgColor rgb="FF8D1D75"/>
        <bgColor rgb="FF993366"/>
      </patternFill>
    </fill>
    <fill>
      <patternFill patternType="solid">
        <fgColor rgb="FFDDDDDD"/>
        <bgColor rgb="FFDEE7E5"/>
      </patternFill>
    </fill>
    <fill>
      <patternFill patternType="solid">
        <fgColor rgb="FFD4EA6B"/>
        <bgColor rgb="FFE8F2A1"/>
      </patternFill>
    </fill>
    <fill>
      <patternFill patternType="solid">
        <fgColor rgb="FFEC9BA4"/>
        <bgColor rgb="FFFF8080"/>
      </patternFill>
    </fill>
    <fill>
      <patternFill patternType="solid">
        <fgColor rgb="FFBF0041"/>
        <bgColor rgb="FF8D1D75"/>
      </patternFill>
    </fill>
    <fill>
      <patternFill patternType="solid">
        <fgColor rgb="FFE8F2A1"/>
        <bgColor rgb="FFFFFFCC"/>
      </patternFill>
    </fill>
    <fill>
      <patternFill patternType="solid">
        <fgColor rgb="FF729FCF"/>
        <bgColor rgb="FF969696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CC"/>
      </patternFill>
    </fill>
    <fill>
      <patternFill patternType="solid">
        <fgColor rgb="FFFF0000"/>
        <bgColor rgb="FF969696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8080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rgb="FFFF8080"/>
      </patternFill>
    </fill>
    <fill>
      <patternFill patternType="solid">
        <fgColor rgb="FFFBFBF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CCCCCC"/>
      </left>
      <right style="medium">
        <color rgb="FFDDDDDD"/>
      </right>
      <top style="medium">
        <color rgb="FFCCCCCC"/>
      </top>
      <bottom/>
      <diagonal/>
    </border>
    <border>
      <left style="medium">
        <color rgb="FFDDDDDD"/>
      </left>
      <right style="medium">
        <color rgb="FFCCCCCC"/>
      </right>
      <top style="medium">
        <color rgb="FFCCCCCC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readingOrder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2" fontId="6" fillId="5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2" fontId="6" fillId="6" borderId="1" xfId="0" applyNumberFormat="1" applyFont="1" applyFill="1" applyBorder="1" applyAlignment="1">
      <alignment horizontal="right"/>
    </xf>
    <xf numFmtId="165" fontId="6" fillId="6" borderId="1" xfId="0" applyNumberFormat="1" applyFont="1" applyFill="1" applyBorder="1" applyAlignment="1">
      <alignment horizontal="right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4" fontId="9" fillId="7" borderId="1" xfId="0" applyNumberFormat="1" applyFont="1" applyFill="1" applyBorder="1" applyAlignment="1">
      <alignment horizontal="right" vertical="center"/>
    </xf>
    <xf numFmtId="0" fontId="0" fillId="0" borderId="1" xfId="0" applyFont="1" applyBorder="1"/>
    <xf numFmtId="0" fontId="7" fillId="0" borderId="0" xfId="0" applyFont="1"/>
    <xf numFmtId="0" fontId="12" fillId="0" borderId="0" xfId="0" applyFont="1" applyAlignment="1">
      <alignment horizontal="center"/>
    </xf>
    <xf numFmtId="0" fontId="7" fillId="0" borderId="0" xfId="0" applyFont="1" applyFill="1" applyBorder="1"/>
    <xf numFmtId="17" fontId="7" fillId="0" borderId="0" xfId="0" applyNumberFormat="1" applyFont="1" applyFill="1" applyBorder="1"/>
    <xf numFmtId="0" fontId="7" fillId="0" borderId="0" xfId="0" applyFont="1" applyFill="1"/>
    <xf numFmtId="0" fontId="11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10" fillId="0" borderId="1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0" fillId="0" borderId="4" xfId="0" applyFont="1" applyFill="1" applyBorder="1" applyAlignment="1"/>
    <xf numFmtId="0" fontId="13" fillId="8" borderId="6" xfId="0" applyFont="1" applyFill="1" applyBorder="1" applyAlignment="1">
      <alignment horizontal="center"/>
    </xf>
    <xf numFmtId="167" fontId="11" fillId="8" borderId="1" xfId="0" applyNumberFormat="1" applyFont="1" applyFill="1" applyBorder="1" applyAlignment="1">
      <alignment horizontal="right" vertical="center" wrapText="1"/>
    </xf>
    <xf numFmtId="167" fontId="11" fillId="8" borderId="1" xfId="0" applyNumberFormat="1" applyFont="1" applyFill="1" applyBorder="1"/>
    <xf numFmtId="169" fontId="11" fillId="9" borderId="1" xfId="0" applyNumberFormat="1" applyFont="1" applyFill="1" applyBorder="1" applyAlignment="1">
      <alignment horizontal="right" vertical="center" wrapText="1"/>
    </xf>
    <xf numFmtId="0" fontId="14" fillId="10" borderId="0" xfId="0" applyFont="1" applyFill="1"/>
    <xf numFmtId="17" fontId="14" fillId="10" borderId="0" xfId="0" applyNumberFormat="1" applyFont="1" applyFill="1" applyBorder="1"/>
    <xf numFmtId="167" fontId="15" fillId="11" borderId="5" xfId="0" applyNumberFormat="1" applyFont="1" applyFill="1" applyBorder="1" applyAlignment="1">
      <alignment horizontal="right" vertical="center" wrapText="1"/>
    </xf>
    <xf numFmtId="169" fontId="15" fillId="12" borderId="5" xfId="0" applyNumberFormat="1" applyFont="1" applyFill="1" applyBorder="1" applyAlignment="1">
      <alignment horizontal="right" vertical="center" wrapText="1"/>
    </xf>
    <xf numFmtId="0" fontId="16" fillId="0" borderId="1" xfId="1" applyBorder="1"/>
    <xf numFmtId="0" fontId="14" fillId="13" borderId="0" xfId="0" applyFont="1" applyFill="1"/>
    <xf numFmtId="0" fontId="0" fillId="0" borderId="0" xfId="0" applyFill="1" applyBorder="1" applyAlignment="1"/>
    <xf numFmtId="170" fontId="14" fillId="13" borderId="0" xfId="0" applyNumberFormat="1" applyFont="1" applyFill="1"/>
    <xf numFmtId="170" fontId="14" fillId="10" borderId="0" xfId="0" applyNumberFormat="1" applyFont="1" applyFill="1"/>
    <xf numFmtId="168" fontId="0" fillId="0" borderId="1" xfId="0" applyNumberFormat="1" applyBorder="1"/>
    <xf numFmtId="168" fontId="0" fillId="6" borderId="1" xfId="0" applyNumberFormat="1" applyFill="1" applyBorder="1"/>
    <xf numFmtId="0" fontId="1" fillId="2" borderId="0" xfId="0" applyFont="1" applyFill="1" applyBorder="1" applyAlignment="1">
      <alignment horizontal="center" vertical="center"/>
    </xf>
    <xf numFmtId="0" fontId="12" fillId="14" borderId="0" xfId="0" applyFont="1" applyFill="1" applyAlignment="1">
      <alignment horizontal="center"/>
    </xf>
    <xf numFmtId="0" fontId="12" fillId="14" borderId="0" xfId="0" applyFont="1" applyFill="1"/>
    <xf numFmtId="4" fontId="12" fillId="14" borderId="0" xfId="0" applyNumberFormat="1" applyFont="1" applyFill="1" applyAlignment="1">
      <alignment horizontal="center"/>
    </xf>
    <xf numFmtId="2" fontId="12" fillId="14" borderId="0" xfId="0" applyNumberFormat="1" applyFont="1" applyFill="1" applyAlignment="1">
      <alignment horizontal="right"/>
    </xf>
    <xf numFmtId="0" fontId="7" fillId="6" borderId="1" xfId="0" applyFont="1" applyFill="1" applyBorder="1" applyAlignment="1">
      <alignment horizontal="center"/>
    </xf>
    <xf numFmtId="2" fontId="17" fillId="6" borderId="1" xfId="0" applyNumberFormat="1" applyFont="1" applyFill="1" applyBorder="1" applyAlignment="1">
      <alignment horizontal="right"/>
    </xf>
    <xf numFmtId="165" fontId="17" fillId="6" borderId="1" xfId="0" applyNumberFormat="1" applyFont="1" applyFill="1" applyBorder="1" applyAlignment="1">
      <alignment horizontal="right"/>
    </xf>
    <xf numFmtId="0" fontId="16" fillId="0" borderId="0" xfId="1"/>
    <xf numFmtId="17" fontId="0" fillId="0" borderId="0" xfId="0" applyNumberFormat="1"/>
    <xf numFmtId="0" fontId="23" fillId="15" borderId="7" xfId="0" applyFont="1" applyFill="1" applyBorder="1" applyAlignment="1">
      <alignment horizontal="center"/>
    </xf>
    <xf numFmtId="0" fontId="23" fillId="15" borderId="12" xfId="0" applyFont="1" applyFill="1" applyBorder="1" applyAlignment="1"/>
    <xf numFmtId="0" fontId="23" fillId="15" borderId="13" xfId="0" applyFont="1" applyFill="1" applyBorder="1" applyAlignment="1"/>
    <xf numFmtId="171" fontId="0" fillId="0" borderId="0" xfId="2" applyNumberFormat="1" applyFont="1"/>
    <xf numFmtId="171" fontId="12" fillId="0" borderId="0" xfId="2" applyNumberFormat="1" applyFont="1" applyAlignment="1">
      <alignment horizontal="center"/>
    </xf>
    <xf numFmtId="172" fontId="0" fillId="0" borderId="0" xfId="2" applyNumberFormat="1" applyFont="1"/>
    <xf numFmtId="172" fontId="12" fillId="0" borderId="0" xfId="2" applyNumberFormat="1" applyFont="1" applyAlignment="1">
      <alignment horizontal="center"/>
    </xf>
    <xf numFmtId="0" fontId="28" fillId="0" borderId="0" xfId="0" applyFont="1"/>
    <xf numFmtId="0" fontId="29" fillId="16" borderId="2" xfId="0" applyFont="1" applyFill="1" applyBorder="1" applyAlignment="1">
      <alignment horizontal="left" vertical="center" wrapText="1"/>
    </xf>
    <xf numFmtId="171" fontId="29" fillId="16" borderId="3" xfId="2" applyNumberFormat="1" applyFont="1" applyFill="1" applyBorder="1" applyAlignment="1">
      <alignment horizontal="right" vertical="center" wrapText="1"/>
    </xf>
    <xf numFmtId="172" fontId="12" fillId="16" borderId="0" xfId="2" applyNumberFormat="1" applyFont="1" applyFill="1"/>
    <xf numFmtId="0" fontId="23" fillId="15" borderId="12" xfId="0" applyFont="1" applyFill="1" applyBorder="1" applyAlignment="1">
      <alignment horizontal="left"/>
    </xf>
    <xf numFmtId="1" fontId="0" fillId="0" borderId="1" xfId="0" applyNumberFormat="1" applyBorder="1"/>
    <xf numFmtId="1" fontId="0" fillId="6" borderId="1" xfId="0" applyNumberFormat="1" applyFill="1" applyBorder="1"/>
    <xf numFmtId="0" fontId="32" fillId="0" borderId="0" xfId="0" applyFont="1" applyFill="1" applyBorder="1"/>
    <xf numFmtId="17" fontId="33" fillId="0" borderId="0" xfId="0" applyNumberFormat="1" applyFont="1" applyFill="1" applyBorder="1" applyAlignment="1">
      <alignment horizontal="left" vertical="top" wrapText="1"/>
    </xf>
    <xf numFmtId="2" fontId="33" fillId="0" borderId="0" xfId="0" applyNumberFormat="1" applyFont="1" applyFill="1" applyBorder="1" applyAlignment="1">
      <alignment horizontal="right" vertical="top" wrapText="1"/>
    </xf>
    <xf numFmtId="166" fontId="32" fillId="0" borderId="0" xfId="0" applyNumberFormat="1" applyFont="1" applyFill="1" applyBorder="1"/>
    <xf numFmtId="0" fontId="33" fillId="0" borderId="0" xfId="0" applyFont="1" applyFill="1" applyBorder="1" applyAlignment="1">
      <alignment horizontal="right" vertical="top" wrapText="1"/>
    </xf>
    <xf numFmtId="0" fontId="34" fillId="18" borderId="16" xfId="0" applyFont="1" applyFill="1" applyBorder="1" applyAlignment="1">
      <alignment horizontal="center" vertical="center" wrapText="1"/>
    </xf>
    <xf numFmtId="0" fontId="0" fillId="19" borderId="0" xfId="0" applyFill="1"/>
    <xf numFmtId="0" fontId="0" fillId="20" borderId="0" xfId="0" applyFill="1"/>
    <xf numFmtId="1" fontId="7" fillId="6" borderId="1" xfId="0" applyNumberFormat="1" applyFont="1" applyFill="1" applyBorder="1"/>
    <xf numFmtId="0" fontId="1" fillId="2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5" fontId="6" fillId="17" borderId="14" xfId="0" applyNumberFormat="1" applyFont="1" applyFill="1" applyBorder="1" applyAlignment="1">
      <alignment horizontal="right" vertical="center"/>
    </xf>
    <xf numFmtId="165" fontId="6" fillId="17" borderId="15" xfId="0" applyNumberFormat="1" applyFont="1" applyFill="1" applyBorder="1" applyAlignment="1">
      <alignment horizontal="right" vertical="center"/>
    </xf>
    <xf numFmtId="165" fontId="6" fillId="17" borderId="5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 readingOrder="1"/>
    </xf>
    <xf numFmtId="164" fontId="6" fillId="6" borderId="1" xfId="0" applyNumberFormat="1" applyFont="1" applyFill="1" applyBorder="1" applyAlignment="1">
      <alignment horizontal="righ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164" fontId="17" fillId="6" borderId="7" xfId="0" applyNumberFormat="1" applyFont="1" applyFill="1" applyBorder="1" applyAlignment="1">
      <alignment horizontal="right" vertical="center"/>
    </xf>
    <xf numFmtId="164" fontId="17" fillId="6" borderId="8" xfId="0" applyNumberFormat="1" applyFont="1" applyFill="1" applyBorder="1" applyAlignment="1">
      <alignment horizontal="right" vertical="center"/>
    </xf>
    <xf numFmtId="164" fontId="17" fillId="6" borderId="4" xfId="0" applyNumberFormat="1" applyFont="1" applyFill="1" applyBorder="1" applyAlignment="1">
      <alignment horizontal="right" vertical="center"/>
    </xf>
    <xf numFmtId="0" fontId="10" fillId="8" borderId="6" xfId="0" applyFont="1" applyFill="1" applyBorder="1" applyAlignment="1">
      <alignment horizontal="center"/>
    </xf>
    <xf numFmtId="0" fontId="35" fillId="0" borderId="1" xfId="0" applyFont="1" applyFill="1" applyBorder="1"/>
    <xf numFmtId="0" fontId="36" fillId="0" borderId="1" xfId="1" applyFont="1" applyFill="1" applyBorder="1"/>
    <xf numFmtId="0" fontId="35" fillId="0" borderId="0" xfId="0" applyFont="1" applyFill="1"/>
    <xf numFmtId="0" fontId="37" fillId="0" borderId="6" xfId="0" applyFont="1" applyFill="1" applyBorder="1" applyAlignment="1">
      <alignment horizontal="center"/>
    </xf>
    <xf numFmtId="0" fontId="37" fillId="0" borderId="1" xfId="0" applyFont="1" applyFill="1" applyBorder="1" applyAlignment="1"/>
    <xf numFmtId="0" fontId="38" fillId="0" borderId="6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17" fontId="35" fillId="0" borderId="0" xfId="0" applyNumberFormat="1" applyFont="1" applyFill="1" applyBorder="1"/>
    <xf numFmtId="167" fontId="39" fillId="0" borderId="5" xfId="0" applyNumberFormat="1" applyFont="1" applyFill="1" applyBorder="1" applyAlignment="1">
      <alignment horizontal="right" vertical="center" wrapText="1"/>
    </xf>
    <xf numFmtId="169" fontId="39" fillId="0" borderId="5" xfId="0" applyNumberFormat="1" applyFont="1" applyFill="1" applyBorder="1" applyAlignment="1">
      <alignment horizontal="right" vertical="center" wrapText="1"/>
    </xf>
    <xf numFmtId="167" fontId="39" fillId="0" borderId="1" xfId="0" applyNumberFormat="1" applyFont="1" applyFill="1" applyBorder="1" applyAlignment="1">
      <alignment horizontal="right" vertical="center" wrapText="1"/>
    </xf>
    <xf numFmtId="169" fontId="39" fillId="0" borderId="1" xfId="0" applyNumberFormat="1" applyFont="1" applyFill="1" applyBorder="1" applyAlignment="1">
      <alignment horizontal="right" vertical="center" wrapText="1"/>
    </xf>
    <xf numFmtId="0" fontId="35" fillId="0" borderId="0" xfId="0" applyFont="1" applyFill="1" applyBorder="1"/>
    <xf numFmtId="0" fontId="35" fillId="0" borderId="0" xfId="0" applyFont="1" applyFill="1" applyBorder="1" applyAlignment="1"/>
    <xf numFmtId="167" fontId="39" fillId="0" borderId="1" xfId="0" applyNumberFormat="1" applyFont="1" applyFill="1" applyBorder="1"/>
    <xf numFmtId="0" fontId="39" fillId="0" borderId="0" xfId="0" applyFont="1" applyFill="1" applyBorder="1" applyAlignment="1">
      <alignment horizontal="right" vertical="center" wrapText="1"/>
    </xf>
    <xf numFmtId="167" fontId="35" fillId="0" borderId="0" xfId="0" applyNumberFormat="1" applyFont="1" applyFill="1"/>
    <xf numFmtId="0" fontId="40" fillId="15" borderId="7" xfId="0" applyFont="1" applyFill="1" applyBorder="1" applyAlignment="1">
      <alignment horizontal="center"/>
    </xf>
    <xf numFmtId="0" fontId="40" fillId="15" borderId="8" xfId="0" applyFont="1" applyFill="1" applyBorder="1" applyAlignment="1">
      <alignment horizontal="center"/>
    </xf>
    <xf numFmtId="0" fontId="40" fillId="15" borderId="4" xfId="0" applyFont="1" applyFill="1" applyBorder="1" applyAlignment="1">
      <alignment horizontal="center"/>
    </xf>
  </cellXfs>
  <cellStyles count="3">
    <cellStyle name="Hiperlink" xfId="1" builtinId="8"/>
    <cellStyle name="Normal" xfId="0" builtinId="0"/>
    <cellStyle name="Vírgula" xfId="2" builtinId="3"/>
  </cellStyles>
  <dxfs count="0"/>
  <tableStyles count="0" defaultTableStyle="TableStyleMedium2" defaultPivotStyle="PivotStyleLight16"/>
  <colors>
    <indexedColors>
      <rgbColor rgb="FF000000"/>
      <rgbColor rgb="FFFFFFFF"/>
      <rgbColor rgb="FFFF3838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BF0041"/>
      <rgbColor rgb="FF008080"/>
      <rgbColor rgb="FFC0C0C0"/>
      <rgbColor rgb="FF808080"/>
      <rgbColor rgb="FF729FCF"/>
      <rgbColor rgb="FF8D1D75"/>
      <rgbColor rgb="FFFFFFCC"/>
      <rgbColor rgb="FFCCFFFF"/>
      <rgbColor rgb="FF660066"/>
      <rgbColor rgb="FFFF8080"/>
      <rgbColor rgb="FF2A6099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EE7E5"/>
      <rgbColor rgb="FFE8F2A1"/>
      <rgbColor rgb="FF99CCFF"/>
      <rgbColor rgb="FFEC9BA4"/>
      <rgbColor rgb="FFCC99FF"/>
      <rgbColor rgb="FFD4EA6B"/>
      <rgbColor rgb="FF3366FF"/>
      <rgbColor rgb="FF33CCCC"/>
      <rgbColor rgb="FF99CC00"/>
      <rgbColor rgb="FFFFCC00"/>
      <rgbColor rgb="FFFF9900"/>
      <rgbColor rgb="FFFF40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calculos.com.br/utilitarios/ipca-e-ibge.ph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3.bcb.gov.br/CALCIDADAO/publico/corrigirPorIndice.do?method=corrigirPorIndic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3.bcb.gov.br/CALCIDADAO/publico/corrigirPorIndice.do?method=corrigirPorIndi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0"/>
  <sheetViews>
    <sheetView tabSelected="1" topLeftCell="A73" zoomScale="112" zoomScaleNormal="112" workbookViewId="0">
      <selection activeCell="O47" sqref="O47"/>
    </sheetView>
  </sheetViews>
  <sheetFormatPr defaultColWidth="8.7109375" defaultRowHeight="15" x14ac:dyDescent="0.25"/>
  <cols>
    <col min="1" max="1" width="4.85546875" style="1" customWidth="1"/>
    <col min="2" max="2" width="9.7109375" style="2" customWidth="1"/>
    <col min="3" max="3" width="10.28515625" style="1" customWidth="1"/>
    <col min="4" max="4" width="10.140625" style="1" customWidth="1"/>
    <col min="5" max="5" width="8" style="1" customWidth="1"/>
    <col min="6" max="6" width="12.7109375" style="1" customWidth="1"/>
    <col min="7" max="7" width="9.28515625" style="3" customWidth="1"/>
    <col min="8" max="8" width="11.5703125" style="3" customWidth="1"/>
    <col min="9" max="9" width="12.28515625" style="4" customWidth="1"/>
    <col min="10" max="10" width="13.140625" style="1" customWidth="1"/>
    <col min="11" max="11" width="12.7109375" customWidth="1"/>
    <col min="12" max="12" width="15.5703125" style="5" customWidth="1"/>
    <col min="13" max="13" width="8.28515625" customWidth="1"/>
    <col min="995" max="1024" width="11.5703125" customWidth="1"/>
  </cols>
  <sheetData>
    <row r="1" spans="1:13" ht="46.35" customHeight="1" x14ac:dyDescent="0.25">
      <c r="A1" s="87" t="s">
        <v>31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3" ht="46.35" customHeight="1" x14ac:dyDescent="0.25">
      <c r="A2" s="54"/>
      <c r="B2" s="88" t="s">
        <v>30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3" ht="66.75" customHeight="1" x14ac:dyDescent="0.25">
      <c r="A3" s="6" t="s">
        <v>0</v>
      </c>
      <c r="B3" s="7" t="s">
        <v>1</v>
      </c>
      <c r="C3" s="8" t="s">
        <v>2</v>
      </c>
      <c r="D3" s="6" t="s">
        <v>3</v>
      </c>
      <c r="E3" s="6" t="s">
        <v>4</v>
      </c>
      <c r="F3" s="6" t="s">
        <v>5</v>
      </c>
      <c r="G3" s="9" t="s">
        <v>6</v>
      </c>
      <c r="H3" s="9" t="s">
        <v>7</v>
      </c>
      <c r="I3" s="8" t="s">
        <v>8</v>
      </c>
      <c r="J3" s="10" t="s">
        <v>9</v>
      </c>
      <c r="K3" s="10" t="s">
        <v>10</v>
      </c>
      <c r="L3" s="8" t="s">
        <v>11</v>
      </c>
      <c r="M3" s="11"/>
    </row>
    <row r="4" spans="1:13" x14ac:dyDescent="0.25">
      <c r="A4" s="12">
        <v>1</v>
      </c>
      <c r="B4" s="13">
        <v>43466</v>
      </c>
      <c r="C4" s="14">
        <v>42</v>
      </c>
      <c r="D4" s="12">
        <v>4861.91</v>
      </c>
      <c r="E4" s="12">
        <v>486.19</v>
      </c>
      <c r="F4" s="15">
        <f t="shared" ref="F4:F15" si="0">D4+E4</f>
        <v>5348.0999999999995</v>
      </c>
      <c r="G4" s="16">
        <f t="shared" ref="G4:G15" si="1">F4/200</f>
        <v>26.740499999999997</v>
      </c>
      <c r="H4" s="16">
        <f t="shared" ref="H4:H15" si="2">G4*0.2</f>
        <v>5.3480999999999996</v>
      </c>
      <c r="I4" s="17">
        <f t="shared" ref="I4:I15" si="3">C4*H4</f>
        <v>224.62019999999998</v>
      </c>
      <c r="J4" s="12">
        <f>'IPCA-E ATÉ 12-2021'!D42</f>
        <v>1.0029999999999999</v>
      </c>
      <c r="K4" s="52">
        <f>'POUPANÇA ATÉ 12-2021'!E5</f>
        <v>1.182050090477577</v>
      </c>
      <c r="L4" s="18">
        <f t="shared" ref="L4:L43" si="4">I4*J4*K4</f>
        <v>266.30886471629066</v>
      </c>
      <c r="M4" s="2"/>
    </row>
    <row r="5" spans="1:13" x14ac:dyDescent="0.25">
      <c r="A5" s="12">
        <v>2</v>
      </c>
      <c r="B5" s="13">
        <v>43497</v>
      </c>
      <c r="C5" s="14">
        <v>42</v>
      </c>
      <c r="D5" s="12">
        <v>4983.45</v>
      </c>
      <c r="E5" s="12">
        <v>498.35</v>
      </c>
      <c r="F5" s="15">
        <f t="shared" si="0"/>
        <v>5481.8</v>
      </c>
      <c r="G5" s="16">
        <f t="shared" si="1"/>
        <v>27.409000000000002</v>
      </c>
      <c r="H5" s="16">
        <f t="shared" si="2"/>
        <v>5.4818000000000007</v>
      </c>
      <c r="I5" s="17">
        <f t="shared" si="3"/>
        <v>230.23560000000003</v>
      </c>
      <c r="J5" s="12">
        <f>'IPCA-E ATÉ 12-2021'!D43</f>
        <v>1.0034000000000001</v>
      </c>
      <c r="K5" s="52">
        <f>'POUPANÇA ATÉ 12-2021'!E6</f>
        <v>1.1776750277494878</v>
      </c>
      <c r="L5" s="18">
        <f t="shared" si="4"/>
        <v>272.06460185542437</v>
      </c>
      <c r="M5" s="2"/>
    </row>
    <row r="6" spans="1:13" x14ac:dyDescent="0.25">
      <c r="A6" s="12">
        <v>3</v>
      </c>
      <c r="B6" s="13">
        <v>43525</v>
      </c>
      <c r="C6" s="14">
        <v>42</v>
      </c>
      <c r="D6" s="12">
        <v>4983.45</v>
      </c>
      <c r="E6" s="12">
        <v>498.35</v>
      </c>
      <c r="F6" s="15">
        <f t="shared" si="0"/>
        <v>5481.8</v>
      </c>
      <c r="G6" s="16">
        <f t="shared" si="1"/>
        <v>27.409000000000002</v>
      </c>
      <c r="H6" s="16">
        <f t="shared" si="2"/>
        <v>5.4818000000000007</v>
      </c>
      <c r="I6" s="17">
        <f t="shared" si="3"/>
        <v>230.23560000000003</v>
      </c>
      <c r="J6" s="12">
        <f>'IPCA-E ATÉ 12-2021'!D44</f>
        <v>1.0054000000000001</v>
      </c>
      <c r="K6" s="52">
        <f>'POUPANÇA ATÉ 12-2021'!E7</f>
        <v>1.1733161582216944</v>
      </c>
      <c r="L6" s="18">
        <f t="shared" si="4"/>
        <v>271.59790108612731</v>
      </c>
      <c r="M6" s="2"/>
    </row>
    <row r="7" spans="1:13" x14ac:dyDescent="0.25">
      <c r="A7" s="12">
        <v>4</v>
      </c>
      <c r="B7" s="13">
        <v>43556</v>
      </c>
      <c r="C7" s="14">
        <v>42</v>
      </c>
      <c r="D7" s="12">
        <v>4983.45</v>
      </c>
      <c r="E7" s="12">
        <v>498.35</v>
      </c>
      <c r="F7" s="15">
        <f t="shared" si="0"/>
        <v>5481.8</v>
      </c>
      <c r="G7" s="16">
        <f t="shared" si="1"/>
        <v>27.409000000000002</v>
      </c>
      <c r="H7" s="16">
        <f t="shared" si="2"/>
        <v>5.4818000000000007</v>
      </c>
      <c r="I7" s="17">
        <f t="shared" si="3"/>
        <v>230.23560000000003</v>
      </c>
      <c r="J7" s="12">
        <f>'IPCA-E ATÉ 12-2021'!D45</f>
        <v>1.0072000000000001</v>
      </c>
      <c r="K7" s="52">
        <f>'POUPANÇA ATÉ 12-2021'!E8</f>
        <v>1.1689734219591164</v>
      </c>
      <c r="L7" s="18">
        <f t="shared" si="4"/>
        <v>271.07710012856984</v>
      </c>
      <c r="M7" s="2"/>
    </row>
    <row r="8" spans="1:13" x14ac:dyDescent="0.25">
      <c r="A8" s="12">
        <v>5</v>
      </c>
      <c r="B8" s="13">
        <v>43586</v>
      </c>
      <c r="C8" s="14">
        <v>42</v>
      </c>
      <c r="D8" s="12">
        <v>4983.45</v>
      </c>
      <c r="E8" s="12">
        <v>498.35</v>
      </c>
      <c r="F8" s="15">
        <f t="shared" si="0"/>
        <v>5481.8</v>
      </c>
      <c r="G8" s="16">
        <f t="shared" si="1"/>
        <v>27.409000000000002</v>
      </c>
      <c r="H8" s="16">
        <f t="shared" si="2"/>
        <v>5.4818000000000007</v>
      </c>
      <c r="I8" s="17">
        <f t="shared" si="3"/>
        <v>230.23560000000003</v>
      </c>
      <c r="J8" s="12">
        <f>'IPCA-E ATÉ 12-2021'!D46</f>
        <v>1.0035000000000001</v>
      </c>
      <c r="K8" s="52">
        <f>'POUPANÇA ATÉ 12-2021'!E9</f>
        <v>1.1646467592485084</v>
      </c>
      <c r="L8" s="18">
        <f t="shared" si="4"/>
        <v>269.08164641254865</v>
      </c>
      <c r="M8" s="2"/>
    </row>
    <row r="9" spans="1:13" x14ac:dyDescent="0.25">
      <c r="A9" s="12">
        <v>6</v>
      </c>
      <c r="B9" s="13">
        <v>43617</v>
      </c>
      <c r="C9" s="14">
        <v>42</v>
      </c>
      <c r="D9" s="12">
        <v>4983.45</v>
      </c>
      <c r="E9" s="12">
        <v>498.35</v>
      </c>
      <c r="F9" s="15">
        <f t="shared" si="0"/>
        <v>5481.8</v>
      </c>
      <c r="G9" s="16">
        <f t="shared" si="1"/>
        <v>27.409000000000002</v>
      </c>
      <c r="H9" s="16">
        <f t="shared" si="2"/>
        <v>5.4818000000000007</v>
      </c>
      <c r="I9" s="17">
        <f t="shared" si="3"/>
        <v>230.23560000000003</v>
      </c>
      <c r="J9" s="12">
        <f>'IPCA-E ATÉ 12-2021'!D47</f>
        <v>1.0005999999999999</v>
      </c>
      <c r="K9" s="52">
        <f>'POUPANÇA ATÉ 12-2021'!E10</f>
        <v>1.1603361105976382</v>
      </c>
      <c r="L9" s="18">
        <f t="shared" si="4"/>
        <v>267.31097103348867</v>
      </c>
      <c r="M9" s="2"/>
    </row>
    <row r="10" spans="1:13" x14ac:dyDescent="0.25">
      <c r="A10" s="12">
        <v>7</v>
      </c>
      <c r="B10" s="13">
        <v>43647</v>
      </c>
      <c r="C10" s="14">
        <v>42</v>
      </c>
      <c r="D10" s="12">
        <v>4983.45</v>
      </c>
      <c r="E10" s="12">
        <v>498.35</v>
      </c>
      <c r="F10" s="15">
        <f t="shared" si="0"/>
        <v>5481.8</v>
      </c>
      <c r="G10" s="16">
        <f t="shared" si="1"/>
        <v>27.409000000000002</v>
      </c>
      <c r="H10" s="16">
        <f t="shared" si="2"/>
        <v>5.4818000000000007</v>
      </c>
      <c r="I10" s="17">
        <f t="shared" si="3"/>
        <v>230.23560000000003</v>
      </c>
      <c r="J10" s="12">
        <f>'IPCA-E ATÉ 12-2021'!D48</f>
        <v>1.0008999999999999</v>
      </c>
      <c r="K10" s="52">
        <f>'POUPANÇA ATÉ 12-2021'!E11</f>
        <v>1.1560414167344697</v>
      </c>
      <c r="L10" s="18">
        <f t="shared" si="4"/>
        <v>266.40143490699671</v>
      </c>
      <c r="M10" s="2"/>
    </row>
    <row r="11" spans="1:13" x14ac:dyDescent="0.25">
      <c r="A11" s="12">
        <v>8</v>
      </c>
      <c r="B11" s="13">
        <v>43678</v>
      </c>
      <c r="C11" s="14">
        <v>42</v>
      </c>
      <c r="D11" s="12">
        <v>4983.45</v>
      </c>
      <c r="E11" s="12">
        <v>498.35</v>
      </c>
      <c r="F11" s="15">
        <f t="shared" si="0"/>
        <v>5481.8</v>
      </c>
      <c r="G11" s="16">
        <f t="shared" si="1"/>
        <v>27.409000000000002</v>
      </c>
      <c r="H11" s="16">
        <f t="shared" si="2"/>
        <v>5.4818000000000007</v>
      </c>
      <c r="I11" s="17">
        <f t="shared" si="3"/>
        <v>230.23560000000003</v>
      </c>
      <c r="J11" s="12">
        <f>'IPCA-E ATÉ 12-2021'!D49</f>
        <v>1.0007999999999999</v>
      </c>
      <c r="K11" s="52">
        <f>'POUPANÇA ATÉ 12-2021'!E12</f>
        <v>1.1517626186063472</v>
      </c>
      <c r="L11" s="18">
        <f t="shared" si="4"/>
        <v>265.38889895844545</v>
      </c>
      <c r="M11" s="2"/>
    </row>
    <row r="12" spans="1:13" x14ac:dyDescent="0.25">
      <c r="A12" s="12">
        <v>9</v>
      </c>
      <c r="B12" s="13">
        <v>43709</v>
      </c>
      <c r="C12" s="14">
        <v>42</v>
      </c>
      <c r="D12" s="12">
        <v>4983.45</v>
      </c>
      <c r="E12" s="12">
        <v>498.35</v>
      </c>
      <c r="F12" s="15">
        <f t="shared" si="0"/>
        <v>5481.8</v>
      </c>
      <c r="G12" s="16">
        <f t="shared" si="1"/>
        <v>27.409000000000002</v>
      </c>
      <c r="H12" s="16">
        <f t="shared" si="2"/>
        <v>5.4818000000000007</v>
      </c>
      <c r="I12" s="17">
        <f t="shared" si="3"/>
        <v>230.23560000000003</v>
      </c>
      <c r="J12" s="12">
        <f>'IPCA-E ATÉ 12-2021'!D50</f>
        <v>1.0008999999999999</v>
      </c>
      <c r="K12" s="52">
        <f>'POUPANÇA ATÉ 12-2021'!E13</f>
        <v>1.1478210012879246</v>
      </c>
      <c r="L12" s="18">
        <f t="shared" si="4"/>
        <v>264.50709925535784</v>
      </c>
      <c r="M12" s="2"/>
    </row>
    <row r="13" spans="1:13" x14ac:dyDescent="0.25">
      <c r="A13" s="12">
        <v>10</v>
      </c>
      <c r="B13" s="13">
        <v>43739</v>
      </c>
      <c r="C13" s="14">
        <v>42</v>
      </c>
      <c r="D13" s="12">
        <v>4983.45</v>
      </c>
      <c r="E13" s="12">
        <v>498.35</v>
      </c>
      <c r="F13" s="15">
        <f t="shared" si="0"/>
        <v>5481.8</v>
      </c>
      <c r="G13" s="16">
        <f t="shared" si="1"/>
        <v>27.409000000000002</v>
      </c>
      <c r="H13" s="16">
        <f t="shared" si="2"/>
        <v>5.4818000000000007</v>
      </c>
      <c r="I13" s="17">
        <f t="shared" si="3"/>
        <v>230.23560000000003</v>
      </c>
      <c r="J13" s="12">
        <f>'IPCA-E ATÉ 12-2021'!D51</f>
        <v>1.0008999999999999</v>
      </c>
      <c r="K13" s="52">
        <f>'POUPANÇA ATÉ 12-2021'!E14</f>
        <v>1.1438928731614881</v>
      </c>
      <c r="L13" s="18">
        <f t="shared" si="4"/>
        <v>263.60189036384838</v>
      </c>
      <c r="M13" s="2"/>
    </row>
    <row r="14" spans="1:13" x14ac:dyDescent="0.25">
      <c r="A14" s="12">
        <v>11</v>
      </c>
      <c r="B14" s="13">
        <v>43770</v>
      </c>
      <c r="C14" s="14">
        <v>42</v>
      </c>
      <c r="D14" s="12">
        <v>4983.45</v>
      </c>
      <c r="E14" s="12">
        <v>498.35</v>
      </c>
      <c r="F14" s="15">
        <f t="shared" si="0"/>
        <v>5481.8</v>
      </c>
      <c r="G14" s="16">
        <f t="shared" si="1"/>
        <v>27.409000000000002</v>
      </c>
      <c r="H14" s="16">
        <f t="shared" si="2"/>
        <v>5.4818000000000007</v>
      </c>
      <c r="I14" s="17">
        <f t="shared" si="3"/>
        <v>230.23560000000003</v>
      </c>
      <c r="J14" s="12">
        <f>'IPCA-E ATÉ 12-2021'!D52</f>
        <v>1.0014000000000001</v>
      </c>
      <c r="K14" s="52">
        <f>'POUPANÇA ATÉ 12-2021'!E15</f>
        <v>1.1402975150963892</v>
      </c>
      <c r="L14" s="18">
        <f t="shared" si="4"/>
        <v>262.90463448231969</v>
      </c>
      <c r="M14" s="2"/>
    </row>
    <row r="15" spans="1:13" x14ac:dyDescent="0.25">
      <c r="A15" s="12">
        <v>12</v>
      </c>
      <c r="B15" s="13">
        <v>43800</v>
      </c>
      <c r="C15" s="14">
        <v>0</v>
      </c>
      <c r="D15" s="12">
        <v>4983.45</v>
      </c>
      <c r="E15" s="12">
        <v>498.35</v>
      </c>
      <c r="F15" s="15">
        <f t="shared" si="0"/>
        <v>5481.8</v>
      </c>
      <c r="G15" s="16">
        <f t="shared" si="1"/>
        <v>27.409000000000002</v>
      </c>
      <c r="H15" s="16">
        <f t="shared" si="2"/>
        <v>5.4818000000000007</v>
      </c>
      <c r="I15" s="17">
        <f t="shared" si="3"/>
        <v>0</v>
      </c>
      <c r="J15" s="12">
        <f>'IPCA-E ATÉ 12-2021'!D53</f>
        <v>1.0105</v>
      </c>
      <c r="K15" s="52">
        <f>'POUPANÇA ATÉ 12-2021'!E16</f>
        <v>1.1370330930861388</v>
      </c>
      <c r="L15" s="18">
        <f t="shared" si="4"/>
        <v>0</v>
      </c>
      <c r="M15" s="2"/>
    </row>
    <row r="16" spans="1:13" x14ac:dyDescent="0.25">
      <c r="A16" s="19"/>
      <c r="B16" s="95" t="s">
        <v>12</v>
      </c>
      <c r="C16" s="95"/>
      <c r="D16" s="95"/>
      <c r="E16" s="95"/>
      <c r="F16" s="95"/>
      <c r="G16" s="95"/>
      <c r="H16" s="95"/>
      <c r="I16" s="20">
        <f>SUM(I4:I15)/12/3</f>
        <v>70.193783333333343</v>
      </c>
      <c r="J16" s="19">
        <f>J15</f>
        <v>1.0105</v>
      </c>
      <c r="K16" s="53">
        <f>K15</f>
        <v>1.1370330930861388</v>
      </c>
      <c r="L16" s="21">
        <f t="shared" si="4"/>
        <v>80.650687451996916</v>
      </c>
      <c r="M16" s="2"/>
    </row>
    <row r="17" spans="1:13" x14ac:dyDescent="0.25">
      <c r="A17" s="19"/>
      <c r="B17" s="95" t="s">
        <v>13</v>
      </c>
      <c r="C17" s="95"/>
      <c r="D17" s="95"/>
      <c r="E17" s="95"/>
      <c r="F17" s="95"/>
      <c r="G17" s="95"/>
      <c r="H17" s="95"/>
      <c r="I17" s="20">
        <f>SUM(I4:I15)/12</f>
        <v>210.58135000000001</v>
      </c>
      <c r="J17" s="19">
        <f>J15</f>
        <v>1.0105</v>
      </c>
      <c r="K17" s="53">
        <f>K15</f>
        <v>1.1370330930861388</v>
      </c>
      <c r="L17" s="21">
        <f t="shared" si="4"/>
        <v>241.95206235599071</v>
      </c>
      <c r="M17" s="2"/>
    </row>
    <row r="18" spans="1:13" x14ac:dyDescent="0.25">
      <c r="A18" s="12">
        <v>13</v>
      </c>
      <c r="B18" s="13">
        <v>43831</v>
      </c>
      <c r="C18" s="14">
        <v>42</v>
      </c>
      <c r="D18" s="12">
        <v>4983.45</v>
      </c>
      <c r="E18" s="12">
        <v>498.35</v>
      </c>
      <c r="F18" s="15">
        <f t="shared" ref="F18:F29" si="5">D18+E18</f>
        <v>5481.8</v>
      </c>
      <c r="G18" s="16">
        <f t="shared" ref="G18:G29" si="6">F18/200</f>
        <v>27.409000000000002</v>
      </c>
      <c r="H18" s="16">
        <f t="shared" ref="H18:H29" si="7">G18*0.2</f>
        <v>5.4818000000000007</v>
      </c>
      <c r="I18" s="17">
        <f t="shared" ref="I18:I29" si="8">C18*H18</f>
        <v>230.23560000000003</v>
      </c>
      <c r="J18" s="12">
        <f>'IPCA-E ATÉ 12-2021'!D55</f>
        <v>1.0071000000000001</v>
      </c>
      <c r="K18" s="52">
        <f>'POUPANÇA ATÉ 12-2021'!E17</f>
        <v>1.1337780164010514</v>
      </c>
      <c r="L18" s="18">
        <f t="shared" si="4"/>
        <v>262.88941791220361</v>
      </c>
      <c r="M18" s="2"/>
    </row>
    <row r="19" spans="1:13" x14ac:dyDescent="0.25">
      <c r="A19" s="12">
        <v>14</v>
      </c>
      <c r="B19" s="13">
        <v>43862</v>
      </c>
      <c r="C19" s="14">
        <v>42</v>
      </c>
      <c r="D19" s="12">
        <v>5108.04</v>
      </c>
      <c r="E19" s="12">
        <v>510.8</v>
      </c>
      <c r="F19" s="15">
        <f t="shared" si="5"/>
        <v>5618.84</v>
      </c>
      <c r="G19" s="16">
        <f t="shared" si="6"/>
        <v>28.094200000000001</v>
      </c>
      <c r="H19" s="16">
        <f t="shared" si="7"/>
        <v>5.6188400000000005</v>
      </c>
      <c r="I19" s="17">
        <f t="shared" si="8"/>
        <v>235.99128000000002</v>
      </c>
      <c r="J19" s="12">
        <f>'IPCA-E ATÉ 12-2021'!D56</f>
        <v>1.0022</v>
      </c>
      <c r="K19" s="52">
        <f>'POUPANÇA ATÉ 12-2021'!E18</f>
        <v>1.1308513730476042</v>
      </c>
      <c r="L19" s="18">
        <f t="shared" si="4"/>
        <v>267.45817935389522</v>
      </c>
      <c r="M19" s="2"/>
    </row>
    <row r="20" spans="1:13" x14ac:dyDescent="0.25">
      <c r="A20" s="12">
        <v>15</v>
      </c>
      <c r="B20" s="13">
        <v>43891</v>
      </c>
      <c r="C20" s="14">
        <v>42</v>
      </c>
      <c r="D20" s="12">
        <v>5108.04</v>
      </c>
      <c r="E20" s="12">
        <v>510.8</v>
      </c>
      <c r="F20" s="15">
        <f t="shared" si="5"/>
        <v>5618.84</v>
      </c>
      <c r="G20" s="16">
        <f t="shared" si="6"/>
        <v>28.094200000000001</v>
      </c>
      <c r="H20" s="16">
        <f t="shared" si="7"/>
        <v>5.6188400000000005</v>
      </c>
      <c r="I20" s="17">
        <f t="shared" si="8"/>
        <v>235.99128000000002</v>
      </c>
      <c r="J20" s="12">
        <f>'IPCA-E ATÉ 12-2021'!D57</f>
        <v>1.0002</v>
      </c>
      <c r="K20" s="52">
        <f>'POUPANÇA ATÉ 12-2021'!E19</f>
        <v>1.1279322842958466</v>
      </c>
      <c r="L20" s="18">
        <f t="shared" si="4"/>
        <v>266.23541996100562</v>
      </c>
      <c r="M20" s="2"/>
    </row>
    <row r="21" spans="1:13" x14ac:dyDescent="0.25">
      <c r="A21" s="12">
        <v>16</v>
      </c>
      <c r="B21" s="13">
        <v>43922</v>
      </c>
      <c r="C21" s="14">
        <v>42</v>
      </c>
      <c r="D21" s="12">
        <v>5108.04</v>
      </c>
      <c r="E21" s="12">
        <v>510.8</v>
      </c>
      <c r="F21" s="15">
        <f t="shared" si="5"/>
        <v>5618.84</v>
      </c>
      <c r="G21" s="16">
        <f t="shared" si="6"/>
        <v>28.094200000000001</v>
      </c>
      <c r="H21" s="16">
        <f t="shared" si="7"/>
        <v>5.6188400000000005</v>
      </c>
      <c r="I21" s="17">
        <f t="shared" si="8"/>
        <v>235.99128000000002</v>
      </c>
      <c r="J21" s="12">
        <f>'IPCA-E ATÉ 12-2021'!D58</f>
        <v>0.99990000000000001</v>
      </c>
      <c r="K21" s="52">
        <f>'POUPANÇA ATÉ 12-2021'!E20</f>
        <v>1.1251800937864449</v>
      </c>
      <c r="L21" s="18">
        <f t="shared" si="4"/>
        <v>265.50613729412686</v>
      </c>
      <c r="M21" s="2"/>
    </row>
    <row r="22" spans="1:13" x14ac:dyDescent="0.25">
      <c r="A22" s="12">
        <v>17</v>
      </c>
      <c r="B22" s="13">
        <v>43952</v>
      </c>
      <c r="C22" s="14">
        <v>42</v>
      </c>
      <c r="D22" s="12">
        <v>5108.04</v>
      </c>
      <c r="E22" s="12">
        <v>510.8</v>
      </c>
      <c r="F22" s="15">
        <f t="shared" si="5"/>
        <v>5618.84</v>
      </c>
      <c r="G22" s="16">
        <f t="shared" si="6"/>
        <v>28.094200000000001</v>
      </c>
      <c r="H22" s="16">
        <f t="shared" si="7"/>
        <v>5.6188400000000005</v>
      </c>
      <c r="I22" s="17">
        <f t="shared" si="8"/>
        <v>235.99128000000002</v>
      </c>
      <c r="J22" s="12">
        <f>'IPCA-E ATÉ 12-2021'!D59</f>
        <v>0.99409999999999998</v>
      </c>
      <c r="K22" s="52">
        <f>'POUPANÇA ATÉ 12-2021'!E21</f>
        <v>1.1227527024437616</v>
      </c>
      <c r="L22" s="18">
        <f t="shared" si="4"/>
        <v>263.39658427366078</v>
      </c>
      <c r="M22" s="2"/>
    </row>
    <row r="23" spans="1:13" x14ac:dyDescent="0.25">
      <c r="A23" s="12">
        <v>18</v>
      </c>
      <c r="B23" s="13">
        <v>43983</v>
      </c>
      <c r="C23" s="14">
        <v>42</v>
      </c>
      <c r="D23" s="12">
        <v>5108.04</v>
      </c>
      <c r="E23" s="12">
        <v>510.8</v>
      </c>
      <c r="F23" s="15">
        <f t="shared" si="5"/>
        <v>5618.84</v>
      </c>
      <c r="G23" s="16">
        <f t="shared" si="6"/>
        <v>28.094200000000001</v>
      </c>
      <c r="H23" s="16">
        <f t="shared" si="7"/>
        <v>5.6188400000000005</v>
      </c>
      <c r="I23" s="17">
        <f t="shared" si="8"/>
        <v>235.99128000000002</v>
      </c>
      <c r="J23" s="12">
        <f>'IPCA-E ATÉ 12-2021'!D60</f>
        <v>1.0002</v>
      </c>
      <c r="K23" s="52">
        <f>'POUPANÇA ATÉ 12-2021'!E22</f>
        <v>1.1203305477994192</v>
      </c>
      <c r="L23" s="18">
        <f t="shared" si="4"/>
        <v>264.44111764628582</v>
      </c>
      <c r="M23" s="2"/>
    </row>
    <row r="24" spans="1:13" x14ac:dyDescent="0.25">
      <c r="A24" s="12">
        <v>19</v>
      </c>
      <c r="B24" s="13">
        <v>44013</v>
      </c>
      <c r="C24" s="14">
        <v>42</v>
      </c>
      <c r="D24" s="12">
        <v>5772.09</v>
      </c>
      <c r="E24" s="12">
        <v>577.21</v>
      </c>
      <c r="F24" s="15">
        <f t="shared" si="5"/>
        <v>6349.3</v>
      </c>
      <c r="G24" s="16">
        <f t="shared" si="6"/>
        <v>31.746500000000001</v>
      </c>
      <c r="H24" s="16">
        <f t="shared" si="7"/>
        <v>6.3493000000000004</v>
      </c>
      <c r="I24" s="17">
        <f t="shared" si="8"/>
        <v>266.67060000000004</v>
      </c>
      <c r="J24" s="12">
        <f>'IPCA-E ATÉ 12-2021'!D61</f>
        <v>1.0029999999999999</v>
      </c>
      <c r="K24" s="52">
        <f>'POUPANÇA ATÉ 12-2021'!E23</f>
        <v>1.1183923738155968</v>
      </c>
      <c r="L24" s="18">
        <f t="shared" si="4"/>
        <v>299.137092456912</v>
      </c>
      <c r="M24" s="2"/>
    </row>
    <row r="25" spans="1:13" x14ac:dyDescent="0.25">
      <c r="A25" s="12">
        <v>20</v>
      </c>
      <c r="B25" s="13">
        <v>44044</v>
      </c>
      <c r="C25" s="14">
        <v>42</v>
      </c>
      <c r="D25" s="12">
        <v>5772.09</v>
      </c>
      <c r="E25" s="12">
        <v>577.21</v>
      </c>
      <c r="F25" s="15">
        <f t="shared" si="5"/>
        <v>6349.3</v>
      </c>
      <c r="G25" s="16">
        <f t="shared" si="6"/>
        <v>31.746500000000001</v>
      </c>
      <c r="H25" s="16">
        <f t="shared" si="7"/>
        <v>6.3493000000000004</v>
      </c>
      <c r="I25" s="17">
        <f t="shared" si="8"/>
        <v>266.67060000000004</v>
      </c>
      <c r="J25" s="12">
        <f>'IPCA-E ATÉ 12-2021'!D62</f>
        <v>1.0023</v>
      </c>
      <c r="K25" s="52">
        <f>'POUPANÇA ATÉ 12-2021'!E24</f>
        <v>1.1169370048982143</v>
      </c>
      <c r="L25" s="18">
        <f t="shared" si="4"/>
        <v>298.53932605930413</v>
      </c>
      <c r="M25" s="2"/>
    </row>
    <row r="26" spans="1:13" x14ac:dyDescent="0.25">
      <c r="A26" s="12">
        <v>21</v>
      </c>
      <c r="B26" s="13">
        <v>44075</v>
      </c>
      <c r="C26" s="14">
        <v>42</v>
      </c>
      <c r="D26" s="12">
        <v>5772.09</v>
      </c>
      <c r="E26" s="12">
        <v>577.21</v>
      </c>
      <c r="F26" s="15">
        <f t="shared" si="5"/>
        <v>6349.3</v>
      </c>
      <c r="G26" s="16">
        <f t="shared" si="6"/>
        <v>31.746500000000001</v>
      </c>
      <c r="H26" s="16">
        <f t="shared" si="7"/>
        <v>6.3493000000000004</v>
      </c>
      <c r="I26" s="17">
        <f t="shared" si="8"/>
        <v>266.67060000000004</v>
      </c>
      <c r="J26" s="12">
        <f>'IPCA-E ATÉ 12-2021'!D63</f>
        <v>1.0044999999999999</v>
      </c>
      <c r="K26" s="52">
        <f>'POUPANÇA ATÉ 12-2021'!E25</f>
        <v>1.1154835298588082</v>
      </c>
      <c r="L26" s="18">
        <f t="shared" si="4"/>
        <v>298.80526217745535</v>
      </c>
      <c r="M26" s="2"/>
    </row>
    <row r="27" spans="1:13" x14ac:dyDescent="0.25">
      <c r="A27" s="12">
        <v>22</v>
      </c>
      <c r="B27" s="13">
        <v>44105</v>
      </c>
      <c r="C27" s="14">
        <v>42</v>
      </c>
      <c r="D27" s="12">
        <v>5772.09</v>
      </c>
      <c r="E27" s="12">
        <v>1154.42</v>
      </c>
      <c r="F27" s="15">
        <f t="shared" si="5"/>
        <v>6926.51</v>
      </c>
      <c r="G27" s="16">
        <f t="shared" si="6"/>
        <v>34.632550000000002</v>
      </c>
      <c r="H27" s="16">
        <f t="shared" si="7"/>
        <v>6.9265100000000004</v>
      </c>
      <c r="I27" s="17">
        <f t="shared" si="8"/>
        <v>290.91342000000003</v>
      </c>
      <c r="J27" s="12">
        <f>'IPCA-E ATÉ 12-2021'!D64</f>
        <v>1.0094000000000001</v>
      </c>
      <c r="K27" s="52">
        <f>'POUPANÇA ATÉ 12-2021'!E26</f>
        <v>1.1141921811208892</v>
      </c>
      <c r="L27" s="18">
        <f t="shared" si="4"/>
        <v>327.18031245184045</v>
      </c>
      <c r="M27" s="2"/>
    </row>
    <row r="28" spans="1:13" x14ac:dyDescent="0.25">
      <c r="A28" s="12">
        <v>23</v>
      </c>
      <c r="B28" s="13">
        <v>44136</v>
      </c>
      <c r="C28" s="14">
        <v>42</v>
      </c>
      <c r="D28" s="12">
        <v>5772.09</v>
      </c>
      <c r="E28" s="12">
        <v>1154.42</v>
      </c>
      <c r="F28" s="15">
        <f t="shared" si="5"/>
        <v>6926.51</v>
      </c>
      <c r="G28" s="16">
        <f t="shared" si="6"/>
        <v>34.632550000000002</v>
      </c>
      <c r="H28" s="16">
        <f t="shared" si="7"/>
        <v>6.9265100000000004</v>
      </c>
      <c r="I28" s="17">
        <f t="shared" si="8"/>
        <v>290.91342000000003</v>
      </c>
      <c r="J28" s="12">
        <f>'IPCA-E ATÉ 12-2021'!D65</f>
        <v>1.0081</v>
      </c>
      <c r="K28" s="52">
        <f>'POUPANÇA ATÉ 12-2021'!E27</f>
        <v>1.1129023273235215</v>
      </c>
      <c r="L28" s="18">
        <f t="shared" si="4"/>
        <v>326.38066376720303</v>
      </c>
      <c r="M28" s="2"/>
    </row>
    <row r="29" spans="1:13" x14ac:dyDescent="0.25">
      <c r="A29" s="12">
        <v>24</v>
      </c>
      <c r="B29" s="13">
        <v>44166</v>
      </c>
      <c r="C29" s="14">
        <v>0</v>
      </c>
      <c r="D29" s="12">
        <v>5772.09</v>
      </c>
      <c r="E29" s="12">
        <v>1154.42</v>
      </c>
      <c r="F29" s="15">
        <f t="shared" si="5"/>
        <v>6926.51</v>
      </c>
      <c r="G29" s="16">
        <f t="shared" si="6"/>
        <v>34.632550000000002</v>
      </c>
      <c r="H29" s="16">
        <f t="shared" si="7"/>
        <v>6.9265100000000004</v>
      </c>
      <c r="I29" s="17">
        <f t="shared" si="8"/>
        <v>0</v>
      </c>
      <c r="J29" s="12">
        <f>'IPCA-E ATÉ 12-2021'!D66</f>
        <v>1.0105999999999999</v>
      </c>
      <c r="K29" s="52">
        <f>'POUPANÇA ATÉ 12-2021'!E28</f>
        <v>1.1116139667360745</v>
      </c>
      <c r="L29" s="18">
        <f t="shared" si="4"/>
        <v>0</v>
      </c>
      <c r="M29" s="2"/>
    </row>
    <row r="30" spans="1:13" x14ac:dyDescent="0.25">
      <c r="A30" s="19"/>
      <c r="B30" s="95" t="s">
        <v>12</v>
      </c>
      <c r="C30" s="95"/>
      <c r="D30" s="95"/>
      <c r="E30" s="95"/>
      <c r="F30" s="95"/>
      <c r="G30" s="95"/>
      <c r="H30" s="95"/>
      <c r="I30" s="20">
        <f>SUM(I4:I15)/12/3</f>
        <v>70.193783333333343</v>
      </c>
      <c r="J30" s="19">
        <f>J15</f>
        <v>1.0105</v>
      </c>
      <c r="K30" s="53">
        <f>K15</f>
        <v>1.1370330930861388</v>
      </c>
      <c r="L30" s="21">
        <f t="shared" si="4"/>
        <v>80.650687451996916</v>
      </c>
      <c r="M30" s="2"/>
    </row>
    <row r="31" spans="1:13" x14ac:dyDescent="0.25">
      <c r="A31" s="19"/>
      <c r="B31" s="95" t="s">
        <v>13</v>
      </c>
      <c r="C31" s="95"/>
      <c r="D31" s="95"/>
      <c r="E31" s="95"/>
      <c r="F31" s="95"/>
      <c r="G31" s="95"/>
      <c r="H31" s="95"/>
      <c r="I31" s="20">
        <f>SUM(I4:I15)/12</f>
        <v>210.58135000000001</v>
      </c>
      <c r="J31" s="19">
        <f>J30</f>
        <v>1.0105</v>
      </c>
      <c r="K31" s="53">
        <f>K30</f>
        <v>1.1370330930861388</v>
      </c>
      <c r="L31" s="21">
        <f t="shared" si="4"/>
        <v>241.95206235599071</v>
      </c>
      <c r="M31" s="2"/>
    </row>
    <row r="32" spans="1:13" x14ac:dyDescent="0.25">
      <c r="A32" s="12">
        <v>25</v>
      </c>
      <c r="B32" s="13">
        <v>44197</v>
      </c>
      <c r="C32" s="14">
        <v>42</v>
      </c>
      <c r="D32" s="12">
        <v>5772.09</v>
      </c>
      <c r="E32" s="12">
        <v>1154.42</v>
      </c>
      <c r="F32" s="15">
        <f>D32+E32</f>
        <v>6926.51</v>
      </c>
      <c r="G32" s="16">
        <f>F32/200</f>
        <v>34.632550000000002</v>
      </c>
      <c r="H32" s="16">
        <f>G32*0.2</f>
        <v>6.9265100000000004</v>
      </c>
      <c r="I32" s="17">
        <f>C32*H32</f>
        <v>290.91342000000003</v>
      </c>
      <c r="J32" s="12">
        <f>'IPCA-E ATÉ 12-2021'!D68</f>
        <v>1.0078</v>
      </c>
      <c r="K32" s="52">
        <f>'POUPANÇA ATÉ 12-2021'!E29</f>
        <v>1.1103270976299215</v>
      </c>
      <c r="L32" s="18">
        <f t="shared" si="4"/>
        <v>325.52852390585792</v>
      </c>
      <c r="M32" s="2"/>
    </row>
    <row r="33" spans="1:15" x14ac:dyDescent="0.25">
      <c r="A33" s="12">
        <v>26</v>
      </c>
      <c r="B33" s="13">
        <v>44228</v>
      </c>
      <c r="C33" s="14">
        <v>42</v>
      </c>
      <c r="D33" s="12">
        <v>5772.09</v>
      </c>
      <c r="E33" s="12">
        <v>1154.42</v>
      </c>
      <c r="F33" s="15">
        <f t="shared" ref="F33:F43" si="9">D33+E33</f>
        <v>6926.51</v>
      </c>
      <c r="G33" s="16">
        <f t="shared" ref="G33:G43" si="10">F33/200</f>
        <v>34.632550000000002</v>
      </c>
      <c r="H33" s="16">
        <f t="shared" ref="H33:H43" si="11">G33*0.2</f>
        <v>6.9265100000000004</v>
      </c>
      <c r="I33" s="17">
        <f t="shared" ref="I33:I43" si="12">C33*H33</f>
        <v>290.91342000000003</v>
      </c>
      <c r="J33" s="12">
        <f>'IPCA-E ATÉ 12-2021'!D69</f>
        <v>1.0047999999999999</v>
      </c>
      <c r="K33" s="52">
        <f>'POUPANÇA ATÉ 12-2021'!E30</f>
        <v>1.1090417182784369</v>
      </c>
      <c r="L33" s="18">
        <f t="shared" si="4"/>
        <v>324.18376775915448</v>
      </c>
      <c r="M33" s="2"/>
    </row>
    <row r="34" spans="1:15" x14ac:dyDescent="0.25">
      <c r="A34" s="12">
        <v>27</v>
      </c>
      <c r="B34" s="13">
        <v>44256</v>
      </c>
      <c r="C34" s="14">
        <v>42</v>
      </c>
      <c r="D34" s="12">
        <v>5772.09</v>
      </c>
      <c r="E34" s="12">
        <v>1154.42</v>
      </c>
      <c r="F34" s="15">
        <f t="shared" si="9"/>
        <v>6926.51</v>
      </c>
      <c r="G34" s="16">
        <f t="shared" si="10"/>
        <v>34.632550000000002</v>
      </c>
      <c r="H34" s="16">
        <f t="shared" si="11"/>
        <v>6.9265100000000004</v>
      </c>
      <c r="I34" s="17">
        <f t="shared" si="12"/>
        <v>290.91342000000003</v>
      </c>
      <c r="J34" s="12">
        <f>'IPCA-E ATÉ 12-2021'!D70</f>
        <v>1.0093000000000001</v>
      </c>
      <c r="K34" s="52">
        <f>'POUPANÇA ATÉ 12-2021'!E31</f>
        <v>1.1077578269569939</v>
      </c>
      <c r="L34" s="18">
        <f t="shared" si="4"/>
        <v>325.25865101896534</v>
      </c>
      <c r="M34" s="2"/>
    </row>
    <row r="35" spans="1:15" x14ac:dyDescent="0.25">
      <c r="A35" s="12">
        <v>28</v>
      </c>
      <c r="B35" s="13">
        <v>44287</v>
      </c>
      <c r="C35" s="14">
        <v>42</v>
      </c>
      <c r="D35" s="12">
        <v>5772.09</v>
      </c>
      <c r="E35" s="12">
        <v>1154.42</v>
      </c>
      <c r="F35" s="15">
        <f t="shared" si="9"/>
        <v>6926.51</v>
      </c>
      <c r="G35" s="16">
        <f t="shared" si="10"/>
        <v>34.632550000000002</v>
      </c>
      <c r="H35" s="16">
        <f t="shared" si="11"/>
        <v>6.9265100000000004</v>
      </c>
      <c r="I35" s="17">
        <f t="shared" si="12"/>
        <v>290.91342000000003</v>
      </c>
      <c r="J35" s="12">
        <f>'IPCA-E ATÉ 12-2021'!D71</f>
        <v>1.006</v>
      </c>
      <c r="K35" s="52">
        <f>'POUPANÇA ATÉ 12-2021'!E32</f>
        <v>1.106475421942962</v>
      </c>
      <c r="L35" s="18">
        <f t="shared" si="4"/>
        <v>323.81988043823037</v>
      </c>
      <c r="M35" s="2"/>
    </row>
    <row r="36" spans="1:15" x14ac:dyDescent="0.25">
      <c r="A36" s="12">
        <v>29</v>
      </c>
      <c r="B36" s="13">
        <v>44317</v>
      </c>
      <c r="C36" s="14">
        <v>42</v>
      </c>
      <c r="D36" s="12">
        <v>5772.09</v>
      </c>
      <c r="E36" s="12">
        <v>1154.42</v>
      </c>
      <c r="F36" s="15">
        <f t="shared" si="9"/>
        <v>6926.51</v>
      </c>
      <c r="G36" s="16">
        <f t="shared" si="10"/>
        <v>34.632550000000002</v>
      </c>
      <c r="H36" s="16">
        <f t="shared" si="11"/>
        <v>6.9265100000000004</v>
      </c>
      <c r="I36" s="17">
        <f t="shared" si="12"/>
        <v>290.91342000000003</v>
      </c>
      <c r="J36" s="12">
        <f>'IPCA-E ATÉ 12-2021'!D72</f>
        <v>1.0044</v>
      </c>
      <c r="K36" s="52">
        <f>'POUPANÇA ATÉ 12-2021'!E33</f>
        <v>1.1051945015157054</v>
      </c>
      <c r="L36" s="18">
        <f t="shared" si="4"/>
        <v>322.93058221481402</v>
      </c>
      <c r="M36" s="2"/>
    </row>
    <row r="37" spans="1:15" x14ac:dyDescent="0.25">
      <c r="A37" s="12">
        <v>30</v>
      </c>
      <c r="B37" s="13">
        <v>44348</v>
      </c>
      <c r="C37" s="14">
        <v>42</v>
      </c>
      <c r="D37" s="12">
        <v>5772.09</v>
      </c>
      <c r="E37" s="12">
        <v>1154.42</v>
      </c>
      <c r="F37" s="15">
        <f t="shared" si="9"/>
        <v>6926.51</v>
      </c>
      <c r="G37" s="16">
        <f t="shared" si="10"/>
        <v>34.632550000000002</v>
      </c>
      <c r="H37" s="16">
        <f t="shared" si="11"/>
        <v>6.9265100000000004</v>
      </c>
      <c r="I37" s="17">
        <f t="shared" si="12"/>
        <v>290.91342000000003</v>
      </c>
      <c r="J37" s="12">
        <f>'IPCA-E ATÉ 12-2021'!D73</f>
        <v>1.0083</v>
      </c>
      <c r="K37" s="52">
        <f>'POUPANÇA ATÉ 12-2021'!E34</f>
        <v>1.1039150639565798</v>
      </c>
      <c r="L37" s="18">
        <f t="shared" si="4"/>
        <v>323.80919941028196</v>
      </c>
      <c r="M37" s="2"/>
    </row>
    <row r="38" spans="1:15" x14ac:dyDescent="0.25">
      <c r="A38" s="12">
        <v>31</v>
      </c>
      <c r="B38" s="13">
        <v>44378</v>
      </c>
      <c r="C38" s="14">
        <v>42</v>
      </c>
      <c r="D38" s="12">
        <v>5772.09</v>
      </c>
      <c r="E38" s="12">
        <v>1154.42</v>
      </c>
      <c r="F38" s="15">
        <f t="shared" si="9"/>
        <v>6926.51</v>
      </c>
      <c r="G38" s="16">
        <f t="shared" si="10"/>
        <v>34.632550000000002</v>
      </c>
      <c r="H38" s="16">
        <f t="shared" si="11"/>
        <v>6.9265100000000004</v>
      </c>
      <c r="I38" s="17">
        <f t="shared" si="12"/>
        <v>290.91342000000003</v>
      </c>
      <c r="J38" s="12">
        <f>'IPCA-E ATÉ 12-2021'!D74</f>
        <v>1.0072000000000001</v>
      </c>
      <c r="K38" s="52">
        <f>'POUPANÇA ATÉ 12-2021'!E35</f>
        <v>1.1016907503316602</v>
      </c>
      <c r="L38" s="18">
        <f t="shared" si="4"/>
        <v>322.80419965387114</v>
      </c>
      <c r="M38" s="2"/>
    </row>
    <row r="39" spans="1:15" x14ac:dyDescent="0.25">
      <c r="A39" s="12">
        <v>32</v>
      </c>
      <c r="B39" s="13">
        <v>44409</v>
      </c>
      <c r="C39" s="14">
        <v>42</v>
      </c>
      <c r="D39" s="12">
        <v>5772.09</v>
      </c>
      <c r="E39" s="12">
        <v>1154.42</v>
      </c>
      <c r="F39" s="15">
        <f t="shared" si="9"/>
        <v>6926.51</v>
      </c>
      <c r="G39" s="16">
        <f t="shared" si="10"/>
        <v>34.632550000000002</v>
      </c>
      <c r="H39" s="16">
        <f t="shared" si="11"/>
        <v>6.9265100000000004</v>
      </c>
      <c r="I39" s="17">
        <f t="shared" si="12"/>
        <v>290.91342000000003</v>
      </c>
      <c r="J39" s="12">
        <f>'IPCA-E ATÉ 12-2021'!D75</f>
        <v>1.0088999999999999</v>
      </c>
      <c r="K39" s="52">
        <f>'POUPANÇA ATÉ 12-2021'!E36</f>
        <v>1.0990025899965288</v>
      </c>
      <c r="L39" s="18">
        <f t="shared" si="4"/>
        <v>322.56006200294627</v>
      </c>
      <c r="M39" s="2"/>
    </row>
    <row r="40" spans="1:15" x14ac:dyDescent="0.25">
      <c r="A40" s="12">
        <v>33</v>
      </c>
      <c r="B40" s="13">
        <v>44440</v>
      </c>
      <c r="C40" s="14">
        <v>42</v>
      </c>
      <c r="D40" s="12">
        <v>5772.09</v>
      </c>
      <c r="E40" s="12">
        <v>1154.42</v>
      </c>
      <c r="F40" s="15">
        <f t="shared" si="9"/>
        <v>6926.51</v>
      </c>
      <c r="G40" s="16">
        <f t="shared" si="10"/>
        <v>34.632550000000002</v>
      </c>
      <c r="H40" s="16">
        <f t="shared" si="11"/>
        <v>6.9265100000000004</v>
      </c>
      <c r="I40" s="17">
        <f t="shared" si="12"/>
        <v>290.91342000000003</v>
      </c>
      <c r="J40" s="12">
        <f>'IPCA-E ATÉ 12-2021'!D76</f>
        <v>1.0114000000000001</v>
      </c>
      <c r="K40" s="52">
        <f>'POUPANÇA ATÉ 12-2021'!E37</f>
        <v>1.0963209888577827</v>
      </c>
      <c r="L40" s="18">
        <f t="shared" si="4"/>
        <v>322.57034145286445</v>
      </c>
      <c r="M40" s="2"/>
    </row>
    <row r="41" spans="1:15" x14ac:dyDescent="0.25">
      <c r="A41" s="12">
        <v>34</v>
      </c>
      <c r="B41" s="13">
        <v>44470</v>
      </c>
      <c r="C41" s="14">
        <v>42</v>
      </c>
      <c r="D41" s="12">
        <v>5772.09</v>
      </c>
      <c r="E41" s="12">
        <v>1154.42</v>
      </c>
      <c r="F41" s="15">
        <f t="shared" si="9"/>
        <v>6926.51</v>
      </c>
      <c r="G41" s="16">
        <f t="shared" si="10"/>
        <v>34.632550000000002</v>
      </c>
      <c r="H41" s="16">
        <f t="shared" si="11"/>
        <v>6.9265100000000004</v>
      </c>
      <c r="I41" s="17">
        <f t="shared" si="12"/>
        <v>290.91342000000003</v>
      </c>
      <c r="J41" s="12">
        <f>'IPCA-E ATÉ 12-2021'!D77</f>
        <v>1.012</v>
      </c>
      <c r="K41" s="52">
        <f>'POUPANÇA ATÉ 12-2021'!E38</f>
        <v>1.0930287861538872</v>
      </c>
      <c r="L41" s="18">
        <f t="shared" si="4"/>
        <v>321.79246324653775</v>
      </c>
      <c r="M41" s="2"/>
    </row>
    <row r="42" spans="1:15" x14ac:dyDescent="0.25">
      <c r="A42" s="12">
        <v>35</v>
      </c>
      <c r="B42" s="13">
        <v>44501</v>
      </c>
      <c r="C42" s="14">
        <v>42</v>
      </c>
      <c r="D42" s="12">
        <v>5772.09</v>
      </c>
      <c r="E42" s="12">
        <v>1154.42</v>
      </c>
      <c r="F42" s="15">
        <f t="shared" si="9"/>
        <v>6926.51</v>
      </c>
      <c r="G42" s="16">
        <f t="shared" si="10"/>
        <v>34.632550000000002</v>
      </c>
      <c r="H42" s="16">
        <f t="shared" si="11"/>
        <v>6.9265100000000004</v>
      </c>
      <c r="I42" s="17">
        <f t="shared" si="12"/>
        <v>290.91342000000003</v>
      </c>
      <c r="J42" s="12">
        <f>'IPCA-E ATÉ 12-2021'!D78</f>
        <v>1.0117</v>
      </c>
      <c r="K42" s="52">
        <f>'POUPANÇA ATÉ 12-2021'!E39</f>
        <v>1.0891351280710331</v>
      </c>
      <c r="L42" s="18">
        <f t="shared" si="4"/>
        <v>320.55110004118887</v>
      </c>
      <c r="M42" s="2"/>
    </row>
    <row r="43" spans="1:15" x14ac:dyDescent="0.25">
      <c r="A43" s="12">
        <v>36</v>
      </c>
      <c r="B43" s="13">
        <v>44531</v>
      </c>
      <c r="C43" s="14">
        <v>0</v>
      </c>
      <c r="D43" s="12">
        <v>5772.09</v>
      </c>
      <c r="E43" s="12">
        <v>1154.42</v>
      </c>
      <c r="F43" s="15">
        <f t="shared" si="9"/>
        <v>6926.51</v>
      </c>
      <c r="G43" s="16">
        <f t="shared" si="10"/>
        <v>34.632550000000002</v>
      </c>
      <c r="H43" s="16">
        <f t="shared" si="11"/>
        <v>6.9265100000000004</v>
      </c>
      <c r="I43" s="17">
        <f t="shared" si="12"/>
        <v>0</v>
      </c>
      <c r="J43" s="12">
        <f>'IPCA-E ATÉ 12-2021'!D79</f>
        <v>1.0078</v>
      </c>
      <c r="K43" s="52">
        <f>'POUPANÇA ATÉ 12-2021'!E40</f>
        <v>1.0843509715844026</v>
      </c>
      <c r="L43" s="18">
        <f t="shared" si="4"/>
        <v>0</v>
      </c>
      <c r="M43" s="89"/>
      <c r="N43" s="90"/>
      <c r="O43" s="90"/>
    </row>
    <row r="44" spans="1:15" x14ac:dyDescent="0.25">
      <c r="A44" s="19"/>
      <c r="B44" s="95" t="s">
        <v>12</v>
      </c>
      <c r="C44" s="95"/>
      <c r="D44" s="95"/>
      <c r="E44" s="95"/>
      <c r="F44" s="95"/>
      <c r="G44" s="95"/>
      <c r="H44" s="95"/>
      <c r="I44" s="20">
        <f>SUM(I18:I29)/12/3</f>
        <v>77.55640666666666</v>
      </c>
      <c r="J44" s="19">
        <f>J29</f>
        <v>1.0105999999999999</v>
      </c>
      <c r="K44" s="53">
        <f>K29</f>
        <v>1.1116139667360745</v>
      </c>
      <c r="L44" s="21">
        <f t="shared" ref="L44:L60" si="13">I44*J44*K44</f>
        <v>87.126640380051057</v>
      </c>
      <c r="M44" s="2"/>
    </row>
    <row r="45" spans="1:15" x14ac:dyDescent="0.25">
      <c r="A45" s="19"/>
      <c r="B45" s="95" t="s">
        <v>13</v>
      </c>
      <c r="C45" s="95"/>
      <c r="D45" s="95"/>
      <c r="E45" s="95"/>
      <c r="F45" s="95"/>
      <c r="G45" s="95"/>
      <c r="H45" s="95"/>
      <c r="I45" s="20">
        <f>SUM(I18:I29)/12</f>
        <v>232.66921999999997</v>
      </c>
      <c r="J45" s="19">
        <f>J44</f>
        <v>1.0105999999999999</v>
      </c>
      <c r="K45" s="53">
        <f>K44</f>
        <v>1.1116139667360745</v>
      </c>
      <c r="L45" s="21">
        <f t="shared" si="13"/>
        <v>261.37992114015321</v>
      </c>
      <c r="M45" s="2"/>
    </row>
    <row r="46" spans="1:15" ht="21" x14ac:dyDescent="0.35">
      <c r="A46" s="120" t="s">
        <v>47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2"/>
      <c r="L46" s="91">
        <v>0</v>
      </c>
      <c r="M46" s="2"/>
    </row>
    <row r="47" spans="1:15" ht="60" customHeight="1" x14ac:dyDescent="0.25">
      <c r="A47" s="64"/>
      <c r="B47" s="96" t="s">
        <v>26</v>
      </c>
      <c r="C47" s="96"/>
      <c r="D47" s="96"/>
      <c r="E47" s="96"/>
      <c r="F47" s="96"/>
      <c r="G47" s="96"/>
      <c r="H47" s="96"/>
      <c r="I47" s="96"/>
      <c r="J47" s="96"/>
      <c r="K47" s="97"/>
      <c r="L47" s="92"/>
      <c r="M47" s="2"/>
    </row>
    <row r="48" spans="1:15" x14ac:dyDescent="0.25">
      <c r="A48" s="64"/>
      <c r="B48" s="65"/>
      <c r="C48" s="65"/>
      <c r="D48" s="65"/>
      <c r="E48" s="65"/>
      <c r="F48" s="65"/>
      <c r="G48" s="65"/>
      <c r="H48" s="65"/>
      <c r="I48" s="65"/>
      <c r="J48" s="75" t="s">
        <v>29</v>
      </c>
      <c r="K48" s="66"/>
      <c r="L48" s="93"/>
      <c r="M48" s="2"/>
    </row>
    <row r="49" spans="1:13" x14ac:dyDescent="0.25">
      <c r="A49" s="12">
        <v>37</v>
      </c>
      <c r="B49" s="13">
        <v>44562</v>
      </c>
      <c r="C49" s="14">
        <v>42</v>
      </c>
      <c r="D49" s="12">
        <v>5772.09</v>
      </c>
      <c r="E49" s="12">
        <v>1154.42</v>
      </c>
      <c r="F49" s="15">
        <f>D49+E49</f>
        <v>6926.51</v>
      </c>
      <c r="G49" s="16">
        <f>F49/200</f>
        <v>34.632550000000002</v>
      </c>
      <c r="H49" s="16">
        <f>G49*0.2</f>
        <v>6.9265100000000004</v>
      </c>
      <c r="I49" s="17">
        <f>C49*H49</f>
        <v>290.91342000000003</v>
      </c>
      <c r="J49" s="12">
        <f>SELIC!F4</f>
        <v>1.2613253430065576</v>
      </c>
      <c r="K49" s="76">
        <v>1</v>
      </c>
      <c r="L49" s="18">
        <f t="shared" si="13"/>
        <v>366.93646926671079</v>
      </c>
      <c r="M49" s="2"/>
    </row>
    <row r="50" spans="1:13" x14ac:dyDescent="0.25">
      <c r="A50" s="12">
        <v>38</v>
      </c>
      <c r="B50" s="13">
        <v>44593</v>
      </c>
      <c r="C50" s="14">
        <v>42</v>
      </c>
      <c r="D50" s="12">
        <v>5772.09</v>
      </c>
      <c r="E50" s="12">
        <v>1154.42</v>
      </c>
      <c r="F50" s="15">
        <f t="shared" ref="F50:F60" si="14">D50+E50</f>
        <v>6926.51</v>
      </c>
      <c r="G50" s="16">
        <f t="shared" ref="G50:G60" si="15">F50/200</f>
        <v>34.632550000000002</v>
      </c>
      <c r="H50" s="16">
        <f t="shared" ref="H50:H60" si="16">G50*0.2</f>
        <v>6.9265100000000004</v>
      </c>
      <c r="I50" s="17">
        <f t="shared" ref="I50:I60" si="17">C50*H50</f>
        <v>290.91342000000003</v>
      </c>
      <c r="J50" s="12">
        <f>SELIC!F5</f>
        <v>1.2520600982792909</v>
      </c>
      <c r="K50" s="76">
        <v>1</v>
      </c>
      <c r="L50" s="18">
        <f t="shared" si="13"/>
        <v>364.24108523596465</v>
      </c>
      <c r="M50" s="2"/>
    </row>
    <row r="51" spans="1:13" x14ac:dyDescent="0.25">
      <c r="A51" s="12">
        <v>39</v>
      </c>
      <c r="B51" s="13">
        <v>44621</v>
      </c>
      <c r="C51" s="14">
        <v>42</v>
      </c>
      <c r="D51" s="12">
        <v>5772.09</v>
      </c>
      <c r="E51" s="12">
        <v>1154.42</v>
      </c>
      <c r="F51" s="15">
        <f t="shared" si="14"/>
        <v>6926.51</v>
      </c>
      <c r="G51" s="16">
        <f t="shared" si="15"/>
        <v>34.632550000000002</v>
      </c>
      <c r="H51" s="16">
        <f t="shared" si="16"/>
        <v>6.9265100000000004</v>
      </c>
      <c r="I51" s="17">
        <f t="shared" si="17"/>
        <v>290.91342000000003</v>
      </c>
      <c r="J51" s="12">
        <f>SELIC!F6</f>
        <v>1.2425927838590687</v>
      </c>
      <c r="K51" s="76">
        <v>1</v>
      </c>
      <c r="L51" s="18">
        <f t="shared" si="13"/>
        <v>361.48691641976251</v>
      </c>
      <c r="M51" s="2"/>
    </row>
    <row r="52" spans="1:13" x14ac:dyDescent="0.25">
      <c r="A52" s="12">
        <v>40</v>
      </c>
      <c r="B52" s="13">
        <v>44652</v>
      </c>
      <c r="C52" s="14">
        <v>42</v>
      </c>
      <c r="D52" s="12">
        <v>5772.09</v>
      </c>
      <c r="E52" s="12">
        <v>1154.42</v>
      </c>
      <c r="F52" s="15">
        <f t="shared" si="14"/>
        <v>6926.51</v>
      </c>
      <c r="G52" s="16">
        <f t="shared" si="15"/>
        <v>34.632550000000002</v>
      </c>
      <c r="H52" s="16">
        <f t="shared" si="16"/>
        <v>6.9265100000000004</v>
      </c>
      <c r="I52" s="17">
        <f t="shared" si="17"/>
        <v>290.91342000000003</v>
      </c>
      <c r="J52" s="12">
        <f>SELIC!F7</f>
        <v>1.2310821656106095</v>
      </c>
      <c r="K52" s="76">
        <v>1</v>
      </c>
      <c r="L52" s="18">
        <f t="shared" si="13"/>
        <v>358.13832309878882</v>
      </c>
      <c r="M52" s="2"/>
    </row>
    <row r="53" spans="1:13" x14ac:dyDescent="0.25">
      <c r="A53" s="12">
        <v>41</v>
      </c>
      <c r="B53" s="13">
        <v>44682</v>
      </c>
      <c r="C53" s="14">
        <v>42</v>
      </c>
      <c r="D53" s="12">
        <v>5772.09</v>
      </c>
      <c r="E53" s="12">
        <v>1154.42</v>
      </c>
      <c r="F53" s="15">
        <f t="shared" si="14"/>
        <v>6926.51</v>
      </c>
      <c r="G53" s="16">
        <f t="shared" si="15"/>
        <v>34.632550000000002</v>
      </c>
      <c r="H53" s="16">
        <f t="shared" si="16"/>
        <v>6.9265100000000004</v>
      </c>
      <c r="I53" s="17">
        <f t="shared" si="17"/>
        <v>290.91342000000003</v>
      </c>
      <c r="J53" s="12">
        <f>SELIC!F8</f>
        <v>1.2208138998985627</v>
      </c>
      <c r="K53" s="76">
        <v>1</v>
      </c>
      <c r="L53" s="18">
        <f t="shared" si="13"/>
        <v>355.15114680302855</v>
      </c>
      <c r="M53" s="2"/>
    </row>
    <row r="54" spans="1:13" x14ac:dyDescent="0.25">
      <c r="A54" s="12">
        <v>42</v>
      </c>
      <c r="B54" s="13">
        <v>44713</v>
      </c>
      <c r="C54" s="14">
        <v>42</v>
      </c>
      <c r="D54" s="12">
        <v>5772.09</v>
      </c>
      <c r="E54" s="12">
        <v>1154.42</v>
      </c>
      <c r="F54" s="15">
        <f t="shared" si="14"/>
        <v>6926.51</v>
      </c>
      <c r="G54" s="16">
        <f t="shared" si="15"/>
        <v>34.632550000000002</v>
      </c>
      <c r="H54" s="16">
        <f t="shared" si="16"/>
        <v>6.9265100000000004</v>
      </c>
      <c r="I54" s="17">
        <f t="shared" si="17"/>
        <v>290.91342000000003</v>
      </c>
      <c r="J54" s="12">
        <f>SELIC!F9</f>
        <v>1.2082194206576276</v>
      </c>
      <c r="K54" s="76">
        <v>1</v>
      </c>
      <c r="L54" s="18">
        <f t="shared" si="13"/>
        <v>351.48724377392909</v>
      </c>
      <c r="M54" s="2"/>
    </row>
    <row r="55" spans="1:13" x14ac:dyDescent="0.25">
      <c r="A55" s="12">
        <v>43</v>
      </c>
      <c r="B55" s="13">
        <v>44743</v>
      </c>
      <c r="C55" s="14">
        <v>42</v>
      </c>
      <c r="D55" s="12">
        <v>5772.09</v>
      </c>
      <c r="E55" s="12">
        <v>1154.42</v>
      </c>
      <c r="F55" s="15">
        <f t="shared" si="14"/>
        <v>6926.51</v>
      </c>
      <c r="G55" s="16">
        <f t="shared" si="15"/>
        <v>34.632550000000002</v>
      </c>
      <c r="H55" s="16">
        <f t="shared" si="16"/>
        <v>6.9265100000000004</v>
      </c>
      <c r="I55" s="17">
        <f t="shared" si="17"/>
        <v>290.91342000000003</v>
      </c>
      <c r="J55" s="12">
        <f>SELIC!F10</f>
        <v>1.1959868669821343</v>
      </c>
      <c r="K55" s="76">
        <v>1</v>
      </c>
      <c r="L55" s="18">
        <f t="shared" si="13"/>
        <v>347.92862974885782</v>
      </c>
      <c r="M55" s="2"/>
    </row>
    <row r="56" spans="1:13" x14ac:dyDescent="0.25">
      <c r="A56" s="12">
        <v>44</v>
      </c>
      <c r="B56" s="13">
        <v>44774</v>
      </c>
      <c r="C56" s="14">
        <v>42</v>
      </c>
      <c r="D56" s="12">
        <v>5772.09</v>
      </c>
      <c r="E56" s="12">
        <v>1154.42</v>
      </c>
      <c r="F56" s="15">
        <f t="shared" si="14"/>
        <v>6926.51</v>
      </c>
      <c r="G56" s="16">
        <f t="shared" si="15"/>
        <v>34.632550000000002</v>
      </c>
      <c r="H56" s="16">
        <f t="shared" si="16"/>
        <v>6.9265100000000004</v>
      </c>
      <c r="I56" s="17">
        <f t="shared" si="17"/>
        <v>290.91342000000003</v>
      </c>
      <c r="J56" s="12">
        <f>SELIC!F11</f>
        <v>1.1836496863018104</v>
      </c>
      <c r="K56" s="76">
        <v>1</v>
      </c>
      <c r="L56" s="18">
        <f t="shared" si="13"/>
        <v>344.33957832398687</v>
      </c>
      <c r="M56" s="2"/>
    </row>
    <row r="57" spans="1:13" x14ac:dyDescent="0.25">
      <c r="A57" s="12">
        <v>45</v>
      </c>
      <c r="B57" s="13">
        <v>44805</v>
      </c>
      <c r="C57" s="14">
        <v>42</v>
      </c>
      <c r="D57" s="12">
        <v>5772.09</v>
      </c>
      <c r="E57" s="12">
        <v>1154.42</v>
      </c>
      <c r="F57" s="15">
        <f t="shared" si="14"/>
        <v>6926.51</v>
      </c>
      <c r="G57" s="16">
        <f t="shared" si="15"/>
        <v>34.632550000000002</v>
      </c>
      <c r="H57" s="16">
        <f t="shared" si="16"/>
        <v>6.9265100000000004</v>
      </c>
      <c r="I57" s="17">
        <f t="shared" si="17"/>
        <v>290.91342000000003</v>
      </c>
      <c r="J57" s="12">
        <f>SELIC!F12</f>
        <v>1.1698744150644267</v>
      </c>
      <c r="K57" s="76">
        <v>1</v>
      </c>
      <c r="L57" s="18">
        <f t="shared" si="13"/>
        <v>340.33216705689193</v>
      </c>
      <c r="M57" s="2"/>
    </row>
    <row r="58" spans="1:13" x14ac:dyDescent="0.25">
      <c r="A58" s="12">
        <v>46</v>
      </c>
      <c r="B58" s="13">
        <v>44835</v>
      </c>
      <c r="C58" s="14">
        <v>42</v>
      </c>
      <c r="D58" s="12">
        <v>5772.09</v>
      </c>
      <c r="E58" s="12">
        <v>1154.42</v>
      </c>
      <c r="F58" s="15">
        <f t="shared" si="14"/>
        <v>6926.51</v>
      </c>
      <c r="G58" s="16">
        <f t="shared" si="15"/>
        <v>34.632550000000002</v>
      </c>
      <c r="H58" s="16">
        <f t="shared" si="16"/>
        <v>6.9265100000000004</v>
      </c>
      <c r="I58" s="17">
        <f t="shared" si="17"/>
        <v>290.91342000000003</v>
      </c>
      <c r="J58" s="12">
        <f>SELIC!F13</f>
        <v>1.1573816376674444</v>
      </c>
      <c r="K58" s="76">
        <v>1</v>
      </c>
      <c r="L58" s="18">
        <f t="shared" si="13"/>
        <v>336.69785045903711</v>
      </c>
      <c r="M58" s="2"/>
    </row>
    <row r="59" spans="1:13" x14ac:dyDescent="0.25">
      <c r="A59" s="12">
        <v>47</v>
      </c>
      <c r="B59" s="13">
        <v>44866</v>
      </c>
      <c r="C59" s="14">
        <v>42</v>
      </c>
      <c r="D59" s="12">
        <v>5772.09</v>
      </c>
      <c r="E59" s="12">
        <v>1154.42</v>
      </c>
      <c r="F59" s="15">
        <f t="shared" si="14"/>
        <v>6926.51</v>
      </c>
      <c r="G59" s="16">
        <f t="shared" si="15"/>
        <v>34.632550000000002</v>
      </c>
      <c r="H59" s="16">
        <f t="shared" si="16"/>
        <v>6.9265100000000004</v>
      </c>
      <c r="I59" s="17">
        <f t="shared" si="17"/>
        <v>290.91342000000003</v>
      </c>
      <c r="J59" s="12">
        <f>SELIC!F14</f>
        <v>1.1456082219702559</v>
      </c>
      <c r="K59" s="76">
        <v>1</v>
      </c>
      <c r="L59" s="18">
        <f t="shared" si="13"/>
        <v>333.2728058334863</v>
      </c>
      <c r="M59" s="2"/>
    </row>
    <row r="60" spans="1:13" x14ac:dyDescent="0.25">
      <c r="A60" s="12">
        <v>48</v>
      </c>
      <c r="B60" s="13">
        <v>44896</v>
      </c>
      <c r="C60" s="14">
        <v>0</v>
      </c>
      <c r="D60" s="12">
        <v>5772.09</v>
      </c>
      <c r="E60" s="12">
        <v>1154.42</v>
      </c>
      <c r="F60" s="15">
        <f t="shared" si="14"/>
        <v>6926.51</v>
      </c>
      <c r="G60" s="16">
        <f t="shared" si="15"/>
        <v>34.632550000000002</v>
      </c>
      <c r="H60" s="16">
        <f t="shared" si="16"/>
        <v>6.9265100000000004</v>
      </c>
      <c r="I60" s="17">
        <f t="shared" si="17"/>
        <v>0</v>
      </c>
      <c r="J60" s="12">
        <f>SELIC!F15</f>
        <v>1.1339545708456749</v>
      </c>
      <c r="K60" s="76">
        <v>1</v>
      </c>
      <c r="L60" s="18">
        <f t="shared" si="13"/>
        <v>0</v>
      </c>
      <c r="M60" s="2"/>
    </row>
    <row r="61" spans="1:13" x14ac:dyDescent="0.25">
      <c r="A61" s="19"/>
      <c r="B61" s="95" t="s">
        <v>12</v>
      </c>
      <c r="C61" s="95"/>
      <c r="D61" s="95"/>
      <c r="E61" s="95"/>
      <c r="F61" s="95"/>
      <c r="G61" s="95"/>
      <c r="H61" s="95"/>
      <c r="I61" s="20">
        <f>SUM(I32:I43)/12/3</f>
        <v>88.890211666666673</v>
      </c>
      <c r="J61" s="19">
        <f>J60</f>
        <v>1.1339545708456749</v>
      </c>
      <c r="K61" s="77">
        <v>1</v>
      </c>
      <c r="L61" s="21">
        <f t="shared" ref="L61:L62" si="18">I61*J61*K61</f>
        <v>100.79746182285621</v>
      </c>
      <c r="M61" s="2"/>
    </row>
    <row r="62" spans="1:13" x14ac:dyDescent="0.25">
      <c r="A62" s="19"/>
      <c r="B62" s="95" t="s">
        <v>13</v>
      </c>
      <c r="C62" s="95"/>
      <c r="D62" s="95"/>
      <c r="E62" s="95"/>
      <c r="F62" s="95"/>
      <c r="G62" s="95"/>
      <c r="H62" s="95"/>
      <c r="I62" s="20">
        <f>SUM(I32:I43)/12</f>
        <v>266.670635</v>
      </c>
      <c r="J62" s="19">
        <f>J60</f>
        <v>1.1339545708456749</v>
      </c>
      <c r="K62" s="77">
        <v>1</v>
      </c>
      <c r="L62" s="21">
        <f t="shared" si="18"/>
        <v>302.39238546856859</v>
      </c>
      <c r="M62" s="2"/>
    </row>
    <row r="63" spans="1:13" x14ac:dyDescent="0.25">
      <c r="A63" s="12">
        <v>49</v>
      </c>
      <c r="B63" s="13">
        <v>44927</v>
      </c>
      <c r="C63" s="14">
        <v>42</v>
      </c>
      <c r="D63" s="12">
        <v>4743.34</v>
      </c>
      <c r="E63" s="12">
        <v>474.33</v>
      </c>
      <c r="F63" s="15">
        <f t="shared" ref="F63:F74" si="19">D63+E63</f>
        <v>5217.67</v>
      </c>
      <c r="G63" s="16">
        <f t="shared" ref="G63:G74" si="20">F63/200</f>
        <v>26.088350000000002</v>
      </c>
      <c r="H63" s="16">
        <f t="shared" ref="H63:H74" si="21">G63*0.2</f>
        <v>5.2176700000000009</v>
      </c>
      <c r="I63" s="17">
        <f t="shared" ref="I63:I74" si="22">C63*H63</f>
        <v>219.14214000000004</v>
      </c>
      <c r="J63" s="12">
        <f>SELIC!F16</f>
        <v>1.121271864783113</v>
      </c>
      <c r="K63" s="76">
        <v>1</v>
      </c>
      <c r="L63" s="18">
        <f t="shared" ref="L63:L74" si="23">I63*J63*K63</f>
        <v>245.71791597036207</v>
      </c>
      <c r="M63" s="2"/>
    </row>
    <row r="64" spans="1:13" x14ac:dyDescent="0.25">
      <c r="A64" s="12">
        <v>50</v>
      </c>
      <c r="B64" s="22">
        <v>44958</v>
      </c>
      <c r="C64" s="14">
        <v>42</v>
      </c>
      <c r="D64" s="23">
        <v>4861.91</v>
      </c>
      <c r="E64" s="12">
        <v>474.33</v>
      </c>
      <c r="F64" s="15">
        <f t="shared" si="19"/>
        <v>5336.24</v>
      </c>
      <c r="G64" s="16">
        <f t="shared" si="20"/>
        <v>26.6812</v>
      </c>
      <c r="H64" s="16">
        <f t="shared" si="21"/>
        <v>5.3362400000000001</v>
      </c>
      <c r="I64" s="17">
        <f t="shared" si="22"/>
        <v>224.12208000000001</v>
      </c>
      <c r="J64" s="12">
        <f>SELIC!F17</f>
        <v>1.1087310083476922</v>
      </c>
      <c r="K64" s="76">
        <v>1</v>
      </c>
      <c r="L64" s="18">
        <f t="shared" si="23"/>
        <v>248.49109975138217</v>
      </c>
      <c r="M64" s="24"/>
    </row>
    <row r="65" spans="1:13" x14ac:dyDescent="0.25">
      <c r="A65" s="12">
        <v>51</v>
      </c>
      <c r="B65" s="13">
        <v>44986</v>
      </c>
      <c r="C65" s="14">
        <v>42</v>
      </c>
      <c r="D65" s="12">
        <v>4861.91</v>
      </c>
      <c r="E65" s="12">
        <v>474.33</v>
      </c>
      <c r="F65" s="15">
        <f t="shared" si="19"/>
        <v>5336.24</v>
      </c>
      <c r="G65" s="16">
        <f t="shared" si="20"/>
        <v>26.6812</v>
      </c>
      <c r="H65" s="16">
        <f t="shared" si="21"/>
        <v>5.3362400000000001</v>
      </c>
      <c r="I65" s="17">
        <f t="shared" si="22"/>
        <v>224.12208000000001</v>
      </c>
      <c r="J65" s="12">
        <f>SELIC!F18</f>
        <v>1.0985746853813418</v>
      </c>
      <c r="K65" s="76">
        <v>1</v>
      </c>
      <c r="L65" s="18">
        <f t="shared" si="23"/>
        <v>246.21484352301195</v>
      </c>
      <c r="M65" s="2"/>
    </row>
    <row r="66" spans="1:13" x14ac:dyDescent="0.25">
      <c r="A66" s="12">
        <v>52</v>
      </c>
      <c r="B66" s="22">
        <v>45017</v>
      </c>
      <c r="C66" s="14">
        <v>42</v>
      </c>
      <c r="D66" s="12">
        <v>4861.91</v>
      </c>
      <c r="E66" s="12">
        <v>474.33</v>
      </c>
      <c r="F66" s="15">
        <f t="shared" si="19"/>
        <v>5336.24</v>
      </c>
      <c r="G66" s="16">
        <f t="shared" si="20"/>
        <v>26.6812</v>
      </c>
      <c r="H66" s="16">
        <f t="shared" si="21"/>
        <v>5.3362400000000001</v>
      </c>
      <c r="I66" s="17">
        <f t="shared" si="22"/>
        <v>224.12208000000001</v>
      </c>
      <c r="J66" s="12">
        <f>SELIC!F19</f>
        <v>1.0857326397187486</v>
      </c>
      <c r="K66" s="76">
        <v>1</v>
      </c>
      <c r="L66" s="18">
        <f t="shared" si="23"/>
        <v>243.33665753765655</v>
      </c>
      <c r="M66" s="2"/>
    </row>
    <row r="67" spans="1:13" x14ac:dyDescent="0.25">
      <c r="A67" s="12">
        <v>53</v>
      </c>
      <c r="B67" s="13">
        <v>45047</v>
      </c>
      <c r="C67" s="14">
        <v>42</v>
      </c>
      <c r="D67" s="12">
        <v>4861.91</v>
      </c>
      <c r="E67" s="12">
        <v>474.33</v>
      </c>
      <c r="F67" s="15">
        <f t="shared" si="19"/>
        <v>5336.24</v>
      </c>
      <c r="G67" s="16">
        <f t="shared" si="20"/>
        <v>26.6812</v>
      </c>
      <c r="H67" s="16">
        <f t="shared" si="21"/>
        <v>5.3362400000000001</v>
      </c>
      <c r="I67" s="17">
        <f t="shared" si="22"/>
        <v>224.12208000000001</v>
      </c>
      <c r="J67" s="12">
        <f>SELIC!F20</f>
        <v>1.0757869890053937</v>
      </c>
      <c r="K67" s="76">
        <v>1</v>
      </c>
      <c r="L67" s="18">
        <f t="shared" si="23"/>
        <v>241.10761761282598</v>
      </c>
      <c r="M67" s="2"/>
    </row>
    <row r="68" spans="1:13" x14ac:dyDescent="0.25">
      <c r="A68" s="12">
        <v>54</v>
      </c>
      <c r="B68" s="22">
        <v>45078</v>
      </c>
      <c r="C68" s="14">
        <v>42</v>
      </c>
      <c r="D68" s="12">
        <v>4861.91</v>
      </c>
      <c r="E68" s="12">
        <v>474.33</v>
      </c>
      <c r="F68" s="15">
        <f t="shared" si="19"/>
        <v>5336.24</v>
      </c>
      <c r="G68" s="16">
        <f t="shared" si="20"/>
        <v>26.6812</v>
      </c>
      <c r="H68" s="16">
        <f t="shared" si="21"/>
        <v>5.3362400000000001</v>
      </c>
      <c r="I68" s="17">
        <f t="shared" si="22"/>
        <v>224.12208000000001</v>
      </c>
      <c r="J68" s="12">
        <f>SELIC!F21</f>
        <v>1.0637548578087193</v>
      </c>
      <c r="K68" s="76">
        <v>1</v>
      </c>
      <c r="L68" s="18">
        <f t="shared" si="23"/>
        <v>238.41095134219441</v>
      </c>
      <c r="M68" s="2"/>
    </row>
    <row r="69" spans="1:13" x14ac:dyDescent="0.25">
      <c r="A69" s="12">
        <v>55</v>
      </c>
      <c r="B69" s="13">
        <v>45108</v>
      </c>
      <c r="C69" s="14">
        <v>42</v>
      </c>
      <c r="D69" s="12">
        <v>4861.91</v>
      </c>
      <c r="E69" s="12">
        <v>474.33</v>
      </c>
      <c r="F69" s="15">
        <f t="shared" si="19"/>
        <v>5336.24</v>
      </c>
      <c r="G69" s="16">
        <f t="shared" si="20"/>
        <v>26.6812</v>
      </c>
      <c r="H69" s="16">
        <f t="shared" si="21"/>
        <v>5.3362400000000001</v>
      </c>
      <c r="I69" s="17">
        <f t="shared" si="22"/>
        <v>224.12208000000001</v>
      </c>
      <c r="J69" s="12">
        <f>SELIC!F22</f>
        <v>1.0523953029091182</v>
      </c>
      <c r="K69" s="76">
        <v>1</v>
      </c>
      <c r="L69" s="18">
        <f t="shared" si="23"/>
        <v>235.86502427022162</v>
      </c>
      <c r="M69" s="2"/>
    </row>
    <row r="70" spans="1:13" x14ac:dyDescent="0.25">
      <c r="A70" s="12">
        <v>56</v>
      </c>
      <c r="B70" s="22">
        <v>45139</v>
      </c>
      <c r="C70" s="14">
        <v>42</v>
      </c>
      <c r="D70" s="12">
        <v>4861.91</v>
      </c>
      <c r="E70" s="12">
        <v>474.33</v>
      </c>
      <c r="F70" s="15">
        <f t="shared" si="19"/>
        <v>5336.24</v>
      </c>
      <c r="G70" s="16">
        <f t="shared" si="20"/>
        <v>26.6812</v>
      </c>
      <c r="H70" s="16">
        <f t="shared" si="21"/>
        <v>5.3362400000000001</v>
      </c>
      <c r="I70" s="17">
        <f t="shared" si="22"/>
        <v>224.12208000000001</v>
      </c>
      <c r="J70" s="12">
        <f>SELIC!F23</f>
        <v>1.0411570536717849</v>
      </c>
      <c r="K70" s="76">
        <v>1</v>
      </c>
      <c r="L70" s="18">
        <f t="shared" si="23"/>
        <v>233.34628447559209</v>
      </c>
      <c r="M70" s="2"/>
    </row>
    <row r="71" spans="1:13" x14ac:dyDescent="0.25">
      <c r="A71" s="12">
        <v>57</v>
      </c>
      <c r="B71" s="13">
        <v>45170</v>
      </c>
      <c r="C71" s="14">
        <v>42</v>
      </c>
      <c r="D71" s="12">
        <v>4861.91</v>
      </c>
      <c r="E71" s="12">
        <v>474.33</v>
      </c>
      <c r="F71" s="15">
        <f t="shared" si="19"/>
        <v>5336.24</v>
      </c>
      <c r="G71" s="16">
        <f t="shared" si="20"/>
        <v>26.6812</v>
      </c>
      <c r="H71" s="16">
        <f t="shared" si="21"/>
        <v>5.3362400000000001</v>
      </c>
      <c r="I71" s="17">
        <f t="shared" si="22"/>
        <v>224.12208000000001</v>
      </c>
      <c r="J71" s="12">
        <f>SELIC!F24</f>
        <v>1.0293636345111901</v>
      </c>
      <c r="K71" s="76">
        <v>1</v>
      </c>
      <c r="L71" s="18">
        <f t="shared" si="23"/>
        <v>230.7031188430077</v>
      </c>
      <c r="M71" s="2"/>
    </row>
    <row r="72" spans="1:13" x14ac:dyDescent="0.25">
      <c r="A72" s="12">
        <v>58</v>
      </c>
      <c r="B72" s="22">
        <v>45200</v>
      </c>
      <c r="C72" s="14">
        <v>42</v>
      </c>
      <c r="D72" s="12">
        <v>4861.91</v>
      </c>
      <c r="E72" s="12">
        <v>486.19</v>
      </c>
      <c r="F72" s="15">
        <f t="shared" si="19"/>
        <v>5348.0999999999995</v>
      </c>
      <c r="G72" s="16">
        <f t="shared" si="20"/>
        <v>26.740499999999997</v>
      </c>
      <c r="H72" s="16">
        <f t="shared" si="21"/>
        <v>5.3480999999999996</v>
      </c>
      <c r="I72" s="17">
        <f t="shared" si="22"/>
        <v>224.62019999999998</v>
      </c>
      <c r="J72" s="12">
        <f>SELIC!F25</f>
        <v>1.01937377155</v>
      </c>
      <c r="K72" s="76">
        <v>1</v>
      </c>
      <c r="L72" s="18">
        <f t="shared" si="23"/>
        <v>228.97194044031528</v>
      </c>
      <c r="M72" s="2"/>
    </row>
    <row r="73" spans="1:13" x14ac:dyDescent="0.25">
      <c r="A73" s="12">
        <v>59</v>
      </c>
      <c r="B73" s="13">
        <v>45231</v>
      </c>
      <c r="C73" s="14">
        <v>42</v>
      </c>
      <c r="D73" s="12">
        <v>4861.91</v>
      </c>
      <c r="E73" s="12">
        <v>486.19</v>
      </c>
      <c r="F73" s="15">
        <f t="shared" si="19"/>
        <v>5348.0999999999995</v>
      </c>
      <c r="G73" s="16">
        <f t="shared" si="20"/>
        <v>26.740499999999997</v>
      </c>
      <c r="H73" s="16">
        <f t="shared" si="21"/>
        <v>5.3480999999999996</v>
      </c>
      <c r="I73" s="17">
        <f t="shared" si="22"/>
        <v>224.62019999999998</v>
      </c>
      <c r="J73" s="12">
        <f>SELIC!F26</f>
        <v>1.009231</v>
      </c>
      <c r="K73" s="76">
        <v>1</v>
      </c>
      <c r="L73" s="18">
        <f t="shared" si="23"/>
        <v>226.69366906619999</v>
      </c>
      <c r="M73" s="2"/>
    </row>
    <row r="74" spans="1:13" x14ac:dyDescent="0.25">
      <c r="A74" s="12">
        <v>60</v>
      </c>
      <c r="B74" s="22">
        <v>45261</v>
      </c>
      <c r="C74" s="14">
        <v>0</v>
      </c>
      <c r="D74" s="12">
        <v>4861.91</v>
      </c>
      <c r="E74" s="12">
        <v>486.19</v>
      </c>
      <c r="F74" s="15">
        <f t="shared" si="19"/>
        <v>5348.0999999999995</v>
      </c>
      <c r="G74" s="16">
        <f t="shared" si="20"/>
        <v>26.740499999999997</v>
      </c>
      <c r="H74" s="16">
        <f t="shared" si="21"/>
        <v>5.3480999999999996</v>
      </c>
      <c r="I74" s="17">
        <f t="shared" si="22"/>
        <v>0</v>
      </c>
      <c r="J74" s="12">
        <v>1</v>
      </c>
      <c r="K74" s="76">
        <v>1</v>
      </c>
      <c r="L74" s="18">
        <f t="shared" si="23"/>
        <v>0</v>
      </c>
      <c r="M74" s="2"/>
    </row>
    <row r="75" spans="1:13" x14ac:dyDescent="0.25">
      <c r="A75" s="59"/>
      <c r="B75" s="98" t="s">
        <v>12</v>
      </c>
      <c r="C75" s="99"/>
      <c r="D75" s="99"/>
      <c r="E75" s="99"/>
      <c r="F75" s="99"/>
      <c r="G75" s="99"/>
      <c r="H75" s="100"/>
      <c r="I75" s="60">
        <f>SUM(I63:I74)/12/3</f>
        <v>68.371088333333347</v>
      </c>
      <c r="J75" s="59">
        <f>J73</f>
        <v>1.009231</v>
      </c>
      <c r="K75" s="86">
        <f>K74</f>
        <v>1</v>
      </c>
      <c r="L75" s="61">
        <f>I75*J75*K75</f>
        <v>69.002221849738348</v>
      </c>
      <c r="M75" s="2"/>
    </row>
    <row r="76" spans="1:13" x14ac:dyDescent="0.25">
      <c r="A76" s="59"/>
      <c r="B76" s="98" t="s">
        <v>13</v>
      </c>
      <c r="C76" s="99"/>
      <c r="D76" s="99"/>
      <c r="E76" s="99"/>
      <c r="F76" s="99"/>
      <c r="G76" s="99"/>
      <c r="H76" s="100"/>
      <c r="I76" s="60">
        <f>SUM(I63:I74)/12</f>
        <v>205.11326500000004</v>
      </c>
      <c r="J76" s="59">
        <f>J75</f>
        <v>1.009231</v>
      </c>
      <c r="K76" s="86">
        <f>K75</f>
        <v>1</v>
      </c>
      <c r="L76" s="61">
        <f>I76*J76*K76</f>
        <v>207.00666554921503</v>
      </c>
      <c r="M76" s="2"/>
    </row>
    <row r="77" spans="1:13" ht="64.150000000000006" customHeight="1" x14ac:dyDescent="0.25">
      <c r="A77" s="94" t="s">
        <v>46</v>
      </c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25">
        <f>SUM(L4:L76)</f>
        <v>17787.805462377797</v>
      </c>
    </row>
    <row r="79" spans="1:13" x14ac:dyDescent="0.25">
      <c r="A79" s="55" t="s">
        <v>24</v>
      </c>
      <c r="B79" s="56" t="s">
        <v>25</v>
      </c>
      <c r="C79" s="56"/>
      <c r="D79" s="56"/>
      <c r="E79" s="56"/>
      <c r="F79" s="56"/>
      <c r="G79" s="56"/>
      <c r="H79" s="57"/>
      <c r="I79" s="58"/>
      <c r="J79" s="55"/>
    </row>
    <row r="80" spans="1:13" x14ac:dyDescent="0.25">
      <c r="B80"/>
      <c r="C80"/>
      <c r="D80"/>
      <c r="E80"/>
      <c r="F80"/>
      <c r="G80"/>
    </row>
  </sheetData>
  <mergeCells count="17">
    <mergeCell ref="A77:K77"/>
    <mergeCell ref="B16:H16"/>
    <mergeCell ref="B17:H17"/>
    <mergeCell ref="B44:H44"/>
    <mergeCell ref="B30:H30"/>
    <mergeCell ref="B31:H31"/>
    <mergeCell ref="B47:K47"/>
    <mergeCell ref="B61:H61"/>
    <mergeCell ref="B62:H62"/>
    <mergeCell ref="B45:H45"/>
    <mergeCell ref="B76:H76"/>
    <mergeCell ref="B75:H75"/>
    <mergeCell ref="A1:L1"/>
    <mergeCell ref="B2:L2"/>
    <mergeCell ref="M43:O43"/>
    <mergeCell ref="A46:K46"/>
    <mergeCell ref="L46:L48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29596-AEE9-443F-B17C-82B32003189E}">
  <dimension ref="A1:G26"/>
  <sheetViews>
    <sheetView topLeftCell="B16" workbookViewId="0">
      <selection activeCell="F4" sqref="F4"/>
    </sheetView>
  </sheetViews>
  <sheetFormatPr defaultRowHeight="15" x14ac:dyDescent="0.25"/>
  <cols>
    <col min="3" max="3" width="19.140625" customWidth="1"/>
    <col min="4" max="4" width="22.85546875" style="67" customWidth="1"/>
    <col min="5" max="5" width="18.5703125" style="69" customWidth="1"/>
    <col min="6" max="6" width="20.42578125" customWidth="1"/>
    <col min="7" max="7" width="4.28515625" customWidth="1"/>
    <col min="8" max="8" width="19" customWidth="1"/>
  </cols>
  <sheetData>
    <row r="1" spans="1:7" ht="47.25" customHeight="1" x14ac:dyDescent="0.25">
      <c r="A1" t="s">
        <v>18</v>
      </c>
      <c r="C1" s="62" t="s">
        <v>44</v>
      </c>
    </row>
    <row r="2" spans="1:7" ht="15.75" thickBot="1" x14ac:dyDescent="0.3">
      <c r="C2" s="28" t="s">
        <v>1</v>
      </c>
      <c r="D2" s="68" t="s">
        <v>16</v>
      </c>
      <c r="E2" s="70" t="s">
        <v>17</v>
      </c>
    </row>
    <row r="3" spans="1:7" x14ac:dyDescent="0.25">
      <c r="C3" s="72" t="s">
        <v>27</v>
      </c>
      <c r="D3" s="73" t="s">
        <v>28</v>
      </c>
      <c r="E3" s="74" t="s">
        <v>45</v>
      </c>
      <c r="F3" t="s">
        <v>22</v>
      </c>
    </row>
    <row r="4" spans="1:7" x14ac:dyDescent="0.25">
      <c r="B4" s="84">
        <v>2022</v>
      </c>
      <c r="C4" s="83" t="s">
        <v>32</v>
      </c>
      <c r="D4" s="83">
        <v>0.74</v>
      </c>
      <c r="E4" s="71">
        <f>1+(D4/100)</f>
        <v>1.0074000000000001</v>
      </c>
      <c r="F4">
        <f>E4*F5</f>
        <v>1.2613253430065576</v>
      </c>
      <c r="G4" s="71"/>
    </row>
    <row r="5" spans="1:7" x14ac:dyDescent="0.25">
      <c r="B5" s="84">
        <v>2022</v>
      </c>
      <c r="C5" s="83" t="s">
        <v>33</v>
      </c>
      <c r="D5" s="83">
        <v>0.76190000000000002</v>
      </c>
      <c r="E5" s="71">
        <f t="shared" ref="E5:E15" si="0">1+(D5/100)</f>
        <v>1.007619</v>
      </c>
      <c r="F5">
        <f t="shared" ref="F5:F26" si="1">E5*F6</f>
        <v>1.2520600982792909</v>
      </c>
      <c r="G5" s="71"/>
    </row>
    <row r="6" spans="1:7" x14ac:dyDescent="0.25">
      <c r="B6" s="84">
        <v>2022</v>
      </c>
      <c r="C6" s="83" t="s">
        <v>34</v>
      </c>
      <c r="D6" s="83">
        <v>0.93500000000000005</v>
      </c>
      <c r="E6" s="71">
        <f t="shared" si="0"/>
        <v>1.00935</v>
      </c>
      <c r="F6">
        <f t="shared" si="1"/>
        <v>1.2425927838590687</v>
      </c>
      <c r="G6" s="63"/>
    </row>
    <row r="7" spans="1:7" x14ac:dyDescent="0.25">
      <c r="B7" s="84">
        <v>2022</v>
      </c>
      <c r="C7" s="83" t="s">
        <v>35</v>
      </c>
      <c r="D7" s="83">
        <v>0.84109999999999996</v>
      </c>
      <c r="E7" s="71">
        <f t="shared" si="0"/>
        <v>1.0084109999999999</v>
      </c>
      <c r="F7">
        <f t="shared" si="1"/>
        <v>1.2310821656106095</v>
      </c>
      <c r="G7" s="63"/>
    </row>
    <row r="8" spans="1:7" x14ac:dyDescent="0.25">
      <c r="B8" s="84">
        <v>2022</v>
      </c>
      <c r="C8" s="83" t="s">
        <v>36</v>
      </c>
      <c r="D8" s="83">
        <v>1.0424</v>
      </c>
      <c r="E8" s="71">
        <f t="shared" si="0"/>
        <v>1.010424</v>
      </c>
      <c r="F8">
        <f t="shared" si="1"/>
        <v>1.2208138998985627</v>
      </c>
      <c r="G8" s="63"/>
    </row>
    <row r="9" spans="1:7" x14ac:dyDescent="0.25">
      <c r="B9" s="84">
        <v>2022</v>
      </c>
      <c r="C9" s="83" t="s">
        <v>37</v>
      </c>
      <c r="D9" s="83">
        <v>1.0227999999999999</v>
      </c>
      <c r="E9" s="71">
        <f t="shared" si="0"/>
        <v>1.0102279999999999</v>
      </c>
      <c r="F9">
        <f t="shared" si="1"/>
        <v>1.2082194206576276</v>
      </c>
      <c r="G9" s="63"/>
    </row>
    <row r="10" spans="1:7" x14ac:dyDescent="0.25">
      <c r="B10" s="84">
        <v>2022</v>
      </c>
      <c r="C10" s="83" t="s">
        <v>38</v>
      </c>
      <c r="D10" s="83">
        <v>1.0423</v>
      </c>
      <c r="E10" s="71">
        <f t="shared" si="0"/>
        <v>1.0104230000000001</v>
      </c>
      <c r="F10">
        <f t="shared" si="1"/>
        <v>1.1959868669821343</v>
      </c>
      <c r="G10" s="71"/>
    </row>
    <row r="11" spans="1:7" x14ac:dyDescent="0.25">
      <c r="B11" s="84">
        <v>2022</v>
      </c>
      <c r="C11" s="83" t="s">
        <v>39</v>
      </c>
      <c r="D11" s="83">
        <v>1.1775</v>
      </c>
      <c r="E11" s="71">
        <f t="shared" si="0"/>
        <v>1.0117750000000001</v>
      </c>
      <c r="F11">
        <f t="shared" si="1"/>
        <v>1.1836496863018104</v>
      </c>
      <c r="G11" s="71"/>
    </row>
    <row r="12" spans="1:7" x14ac:dyDescent="0.25">
      <c r="B12" s="84">
        <v>2022</v>
      </c>
      <c r="C12" s="83" t="s">
        <v>40</v>
      </c>
      <c r="D12" s="83">
        <v>1.0793999999999999</v>
      </c>
      <c r="E12" s="71">
        <f t="shared" si="0"/>
        <v>1.010794</v>
      </c>
      <c r="F12">
        <f t="shared" si="1"/>
        <v>1.1698744150644267</v>
      </c>
      <c r="G12" s="71"/>
    </row>
    <row r="13" spans="1:7" x14ac:dyDescent="0.25">
      <c r="B13" s="84">
        <v>2022</v>
      </c>
      <c r="C13" s="83" t="s">
        <v>41</v>
      </c>
      <c r="D13" s="83">
        <v>1.0277000000000001</v>
      </c>
      <c r="E13" s="71">
        <f t="shared" si="0"/>
        <v>1.0102770000000001</v>
      </c>
      <c r="F13">
        <f t="shared" si="1"/>
        <v>1.1573816376674444</v>
      </c>
      <c r="G13" s="71"/>
    </row>
    <row r="14" spans="1:7" x14ac:dyDescent="0.25">
      <c r="B14" s="84">
        <v>2022</v>
      </c>
      <c r="C14" s="83" t="s">
        <v>42</v>
      </c>
      <c r="D14" s="83">
        <v>1.0277000000000001</v>
      </c>
      <c r="E14" s="71">
        <f t="shared" si="0"/>
        <v>1.0102770000000001</v>
      </c>
      <c r="F14">
        <f t="shared" si="1"/>
        <v>1.1456082219702559</v>
      </c>
      <c r="G14" s="71"/>
    </row>
    <row r="15" spans="1:7" x14ac:dyDescent="0.25">
      <c r="B15" s="84">
        <v>2022</v>
      </c>
      <c r="C15" s="83" t="s">
        <v>43</v>
      </c>
      <c r="D15" s="83">
        <v>1.1311</v>
      </c>
      <c r="E15" s="71">
        <f t="shared" si="0"/>
        <v>1.0113110000000001</v>
      </c>
      <c r="F15">
        <f t="shared" si="1"/>
        <v>1.1339545708456749</v>
      </c>
      <c r="G15" s="71"/>
    </row>
    <row r="16" spans="1:7" x14ac:dyDescent="0.25">
      <c r="B16" s="85">
        <v>2023</v>
      </c>
      <c r="C16" s="83" t="s">
        <v>32</v>
      </c>
      <c r="D16" s="83">
        <v>1.1311</v>
      </c>
      <c r="E16" s="71">
        <f>1+(D16/100)</f>
        <v>1.0113110000000001</v>
      </c>
      <c r="F16">
        <f t="shared" si="1"/>
        <v>1.121271864783113</v>
      </c>
    </row>
    <row r="17" spans="2:6" x14ac:dyDescent="0.25">
      <c r="B17" s="85">
        <v>2023</v>
      </c>
      <c r="C17" s="83" t="s">
        <v>33</v>
      </c>
      <c r="D17" s="83">
        <v>0.92449999999999999</v>
      </c>
      <c r="E17" s="71">
        <f t="shared" ref="E17:E26" si="2">1+(D17/100)</f>
        <v>1.0092449999999999</v>
      </c>
      <c r="F17">
        <f t="shared" si="1"/>
        <v>1.1087310083476922</v>
      </c>
    </row>
    <row r="18" spans="2:6" x14ac:dyDescent="0.25">
      <c r="B18" s="85">
        <v>2023</v>
      </c>
      <c r="C18" s="83" t="s">
        <v>34</v>
      </c>
      <c r="D18" s="83">
        <v>1.1828000000000001</v>
      </c>
      <c r="E18" s="71">
        <f t="shared" si="2"/>
        <v>1.0118279999999999</v>
      </c>
      <c r="F18">
        <f t="shared" si="1"/>
        <v>1.0985746853813418</v>
      </c>
    </row>
    <row r="19" spans="2:6" x14ac:dyDescent="0.25">
      <c r="B19" s="85">
        <v>2023</v>
      </c>
      <c r="C19" s="83" t="s">
        <v>35</v>
      </c>
      <c r="D19" s="83">
        <v>0.92449999999999999</v>
      </c>
      <c r="E19" s="71">
        <f t="shared" si="2"/>
        <v>1.0092449999999999</v>
      </c>
      <c r="F19">
        <f t="shared" si="1"/>
        <v>1.0857326397187486</v>
      </c>
    </row>
    <row r="20" spans="2:6" x14ac:dyDescent="0.25">
      <c r="B20" s="85">
        <v>2023</v>
      </c>
      <c r="C20" s="83" t="s">
        <v>36</v>
      </c>
      <c r="D20" s="83">
        <v>1.1311</v>
      </c>
      <c r="E20" s="71">
        <f t="shared" si="2"/>
        <v>1.0113110000000001</v>
      </c>
      <c r="F20">
        <f t="shared" si="1"/>
        <v>1.0757869890053937</v>
      </c>
    </row>
    <row r="21" spans="2:6" x14ac:dyDescent="0.25">
      <c r="B21" s="85">
        <v>2023</v>
      </c>
      <c r="C21" s="83" t="s">
        <v>37</v>
      </c>
      <c r="D21" s="83">
        <v>1.0793999999999999</v>
      </c>
      <c r="E21" s="71">
        <f t="shared" si="2"/>
        <v>1.010794</v>
      </c>
      <c r="F21">
        <f t="shared" si="1"/>
        <v>1.0637548578087193</v>
      </c>
    </row>
    <row r="22" spans="2:6" x14ac:dyDescent="0.25">
      <c r="B22" s="85">
        <v>2023</v>
      </c>
      <c r="C22" s="83" t="s">
        <v>38</v>
      </c>
      <c r="D22" s="83">
        <v>1.0793999999999999</v>
      </c>
      <c r="E22" s="71">
        <f t="shared" si="2"/>
        <v>1.010794</v>
      </c>
      <c r="F22">
        <f t="shared" si="1"/>
        <v>1.0523953029091182</v>
      </c>
    </row>
    <row r="23" spans="2:6" x14ac:dyDescent="0.25">
      <c r="B23" s="85">
        <v>2023</v>
      </c>
      <c r="C23" s="83" t="s">
        <v>39</v>
      </c>
      <c r="D23" s="83">
        <v>1.1456999999999999</v>
      </c>
      <c r="E23" s="71">
        <f t="shared" si="2"/>
        <v>1.0114570000000001</v>
      </c>
      <c r="F23">
        <f t="shared" si="1"/>
        <v>1.0411570536717849</v>
      </c>
    </row>
    <row r="24" spans="2:6" x14ac:dyDescent="0.25">
      <c r="B24" s="85">
        <v>2023</v>
      </c>
      <c r="C24" s="83" t="s">
        <v>40</v>
      </c>
      <c r="D24" s="83">
        <v>0.98</v>
      </c>
      <c r="E24" s="71">
        <f t="shared" si="2"/>
        <v>1.0098</v>
      </c>
      <c r="F24">
        <f t="shared" si="1"/>
        <v>1.0293636345111901</v>
      </c>
    </row>
    <row r="25" spans="2:6" x14ac:dyDescent="0.25">
      <c r="B25" s="85">
        <v>2023</v>
      </c>
      <c r="C25" s="83" t="s">
        <v>41</v>
      </c>
      <c r="D25" s="83">
        <v>1.0049999999999999</v>
      </c>
      <c r="E25" s="71">
        <f t="shared" si="2"/>
        <v>1.0100499999999999</v>
      </c>
      <c r="F25">
        <f t="shared" si="1"/>
        <v>1.01937377155</v>
      </c>
    </row>
    <row r="26" spans="2:6" x14ac:dyDescent="0.25">
      <c r="B26" s="85">
        <v>2023</v>
      </c>
      <c r="C26" s="83" t="s">
        <v>42</v>
      </c>
      <c r="D26" s="83">
        <v>0.92310000000000003</v>
      </c>
      <c r="E26" s="71">
        <f t="shared" si="2"/>
        <v>1.009231</v>
      </c>
      <c r="F26">
        <f>E26</f>
        <v>1.009231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0"/>
  <sheetViews>
    <sheetView topLeftCell="A73" workbookViewId="0">
      <selection activeCell="E95" sqref="E95"/>
    </sheetView>
  </sheetViews>
  <sheetFormatPr defaultRowHeight="15" x14ac:dyDescent="0.25"/>
  <cols>
    <col min="2" max="2" width="19.140625" customWidth="1"/>
    <col min="3" max="3" width="22.85546875" customWidth="1"/>
    <col min="4" max="4" width="13" customWidth="1"/>
  </cols>
  <sheetData>
    <row r="1" spans="1:5" ht="47.25" customHeight="1" x14ac:dyDescent="0.25">
      <c r="A1" t="s">
        <v>18</v>
      </c>
      <c r="B1" s="62" t="s">
        <v>19</v>
      </c>
    </row>
    <row r="2" spans="1:5" x14ac:dyDescent="0.25">
      <c r="B2" s="28" t="s">
        <v>1</v>
      </c>
      <c r="C2" s="28" t="s">
        <v>16</v>
      </c>
      <c r="D2" s="28" t="s">
        <v>17</v>
      </c>
    </row>
    <row r="3" spans="1:5" ht="15.75" x14ac:dyDescent="0.25">
      <c r="A3" s="78"/>
      <c r="B3" s="79">
        <v>42370</v>
      </c>
      <c r="C3" s="80">
        <v>0.92</v>
      </c>
      <c r="D3" s="81">
        <f>(C3/100)+1</f>
        <v>1.0092000000000001</v>
      </c>
      <c r="E3" s="78"/>
    </row>
    <row r="4" spans="1:5" ht="15.75" x14ac:dyDescent="0.25">
      <c r="A4" s="78"/>
      <c r="B4" s="79">
        <v>42401</v>
      </c>
      <c r="C4" s="80">
        <v>1.42</v>
      </c>
      <c r="D4" s="81">
        <f t="shared" ref="D4:D66" si="0">(C4/100)+1</f>
        <v>1.0142</v>
      </c>
      <c r="E4" s="78"/>
    </row>
    <row r="5" spans="1:5" ht="15.75" x14ac:dyDescent="0.25">
      <c r="A5" s="78"/>
      <c r="B5" s="79">
        <v>42430</v>
      </c>
      <c r="C5" s="80">
        <v>0.43</v>
      </c>
      <c r="D5" s="81">
        <f t="shared" si="0"/>
        <v>1.0043</v>
      </c>
      <c r="E5" s="78"/>
    </row>
    <row r="6" spans="1:5" ht="15.75" x14ac:dyDescent="0.25">
      <c r="A6" s="78"/>
      <c r="B6" s="79">
        <v>42461</v>
      </c>
      <c r="C6" s="80">
        <v>0.51</v>
      </c>
      <c r="D6" s="81">
        <f t="shared" si="0"/>
        <v>1.0051000000000001</v>
      </c>
      <c r="E6" s="78"/>
    </row>
    <row r="7" spans="1:5" ht="15.75" x14ac:dyDescent="0.25">
      <c r="A7" s="78"/>
      <c r="B7" s="79">
        <v>42491</v>
      </c>
      <c r="C7" s="80">
        <v>0.86</v>
      </c>
      <c r="D7" s="81">
        <f t="shared" si="0"/>
        <v>1.0085999999999999</v>
      </c>
      <c r="E7" s="78"/>
    </row>
    <row r="8" spans="1:5" ht="15.75" x14ac:dyDescent="0.25">
      <c r="A8" s="78"/>
      <c r="B8" s="79">
        <v>42522</v>
      </c>
      <c r="C8" s="80">
        <v>0.4</v>
      </c>
      <c r="D8" s="81">
        <f t="shared" si="0"/>
        <v>1.004</v>
      </c>
      <c r="E8" s="78"/>
    </row>
    <row r="9" spans="1:5" ht="15.75" x14ac:dyDescent="0.25">
      <c r="A9" s="78"/>
      <c r="B9" s="79">
        <v>42552</v>
      </c>
      <c r="C9" s="80">
        <v>0.54</v>
      </c>
      <c r="D9" s="81">
        <f t="shared" si="0"/>
        <v>1.0054000000000001</v>
      </c>
      <c r="E9" s="78"/>
    </row>
    <row r="10" spans="1:5" ht="15.75" x14ac:dyDescent="0.25">
      <c r="A10" s="78"/>
      <c r="B10" s="79">
        <v>42583</v>
      </c>
      <c r="C10" s="80">
        <v>0.45</v>
      </c>
      <c r="D10" s="81">
        <f t="shared" si="0"/>
        <v>1.0044999999999999</v>
      </c>
      <c r="E10" s="78"/>
    </row>
    <row r="11" spans="1:5" ht="15.75" x14ac:dyDescent="0.25">
      <c r="A11" s="78"/>
      <c r="B11" s="79">
        <v>42614</v>
      </c>
      <c r="C11" s="80">
        <v>0.23</v>
      </c>
      <c r="D11" s="81">
        <f t="shared" si="0"/>
        <v>1.0023</v>
      </c>
      <c r="E11" s="78"/>
    </row>
    <row r="12" spans="1:5" ht="15.75" x14ac:dyDescent="0.25">
      <c r="A12" s="78"/>
      <c r="B12" s="79">
        <v>42644</v>
      </c>
      <c r="C12" s="80">
        <v>0.19</v>
      </c>
      <c r="D12" s="81">
        <f t="shared" si="0"/>
        <v>1.0019</v>
      </c>
      <c r="E12" s="78"/>
    </row>
    <row r="13" spans="1:5" ht="15.75" x14ac:dyDescent="0.25">
      <c r="A13" s="78"/>
      <c r="B13" s="79">
        <v>42675</v>
      </c>
      <c r="C13" s="80">
        <v>0.26</v>
      </c>
      <c r="D13" s="81">
        <f t="shared" si="0"/>
        <v>1.0025999999999999</v>
      </c>
      <c r="E13" s="78"/>
    </row>
    <row r="14" spans="1:5" ht="15.75" x14ac:dyDescent="0.25">
      <c r="A14" s="78"/>
      <c r="B14" s="79">
        <v>42705</v>
      </c>
      <c r="C14" s="80">
        <v>0.19</v>
      </c>
      <c r="D14" s="81">
        <f t="shared" si="0"/>
        <v>1.0019</v>
      </c>
      <c r="E14" s="78"/>
    </row>
    <row r="15" spans="1:5" ht="15.75" x14ac:dyDescent="0.25">
      <c r="A15" s="78"/>
      <c r="B15" s="78"/>
      <c r="C15" s="78"/>
      <c r="D15" s="81"/>
      <c r="E15" s="78"/>
    </row>
    <row r="16" spans="1:5" ht="15.75" x14ac:dyDescent="0.25">
      <c r="A16" s="78"/>
      <c r="B16" s="79">
        <v>42736</v>
      </c>
      <c r="C16" s="82">
        <v>0.31</v>
      </c>
      <c r="D16" s="81">
        <f t="shared" si="0"/>
        <v>1.0031000000000001</v>
      </c>
      <c r="E16" s="78"/>
    </row>
    <row r="17" spans="1:5" ht="15.75" x14ac:dyDescent="0.25">
      <c r="A17" s="78"/>
      <c r="B17" s="79">
        <v>42767</v>
      </c>
      <c r="C17" s="82">
        <v>0.54</v>
      </c>
      <c r="D17" s="81">
        <f t="shared" si="0"/>
        <v>1.0054000000000001</v>
      </c>
      <c r="E17" s="78"/>
    </row>
    <row r="18" spans="1:5" ht="15.75" x14ac:dyDescent="0.25">
      <c r="A18" s="78"/>
      <c r="B18" s="79">
        <v>42795</v>
      </c>
      <c r="C18" s="82">
        <v>0.15</v>
      </c>
      <c r="D18" s="81">
        <f t="shared" si="0"/>
        <v>1.0015000000000001</v>
      </c>
      <c r="E18" s="78"/>
    </row>
    <row r="19" spans="1:5" ht="15.75" x14ac:dyDescent="0.25">
      <c r="A19" s="78"/>
      <c r="B19" s="79">
        <v>42826</v>
      </c>
      <c r="C19" s="82">
        <v>0.21</v>
      </c>
      <c r="D19" s="81">
        <f t="shared" si="0"/>
        <v>1.0021</v>
      </c>
      <c r="E19" s="78"/>
    </row>
    <row r="20" spans="1:5" ht="15.75" x14ac:dyDescent="0.25">
      <c r="A20" s="78"/>
      <c r="B20" s="79">
        <v>42856</v>
      </c>
      <c r="C20" s="82">
        <v>0.24</v>
      </c>
      <c r="D20" s="81">
        <f t="shared" si="0"/>
        <v>1.0024</v>
      </c>
      <c r="E20" s="78"/>
    </row>
    <row r="21" spans="1:5" ht="15.75" x14ac:dyDescent="0.25">
      <c r="A21" s="78"/>
      <c r="B21" s="79">
        <v>42887</v>
      </c>
      <c r="C21" s="82">
        <v>0.16</v>
      </c>
      <c r="D21" s="81">
        <f t="shared" si="0"/>
        <v>1.0016</v>
      </c>
      <c r="E21" s="78"/>
    </row>
    <row r="22" spans="1:5" ht="15.75" x14ac:dyDescent="0.25">
      <c r="A22" s="78"/>
      <c r="B22" s="79">
        <v>42917</v>
      </c>
      <c r="C22" s="82">
        <v>-0.18</v>
      </c>
      <c r="D22" s="81">
        <f t="shared" si="0"/>
        <v>0.99819999999999998</v>
      </c>
      <c r="E22" s="78"/>
    </row>
    <row r="23" spans="1:5" ht="15.75" x14ac:dyDescent="0.25">
      <c r="A23" s="78"/>
      <c r="B23" s="79">
        <v>42948</v>
      </c>
      <c r="C23" s="82">
        <v>0.35</v>
      </c>
      <c r="D23" s="81">
        <f t="shared" si="0"/>
        <v>1.0035000000000001</v>
      </c>
      <c r="E23" s="78"/>
    </row>
    <row r="24" spans="1:5" ht="15.75" x14ac:dyDescent="0.25">
      <c r="A24" s="78"/>
      <c r="B24" s="79">
        <v>42979</v>
      </c>
      <c r="C24" s="82">
        <v>0.11</v>
      </c>
      <c r="D24" s="81">
        <f t="shared" si="0"/>
        <v>1.0011000000000001</v>
      </c>
      <c r="E24" s="78"/>
    </row>
    <row r="25" spans="1:5" ht="15.75" x14ac:dyDescent="0.25">
      <c r="A25" s="78"/>
      <c r="B25" s="79">
        <v>43009</v>
      </c>
      <c r="C25" s="82">
        <v>0.34</v>
      </c>
      <c r="D25" s="81">
        <f t="shared" si="0"/>
        <v>1.0034000000000001</v>
      </c>
      <c r="E25" s="78"/>
    </row>
    <row r="26" spans="1:5" ht="15.75" x14ac:dyDescent="0.25">
      <c r="A26" s="78"/>
      <c r="B26" s="79">
        <v>43040</v>
      </c>
      <c r="C26" s="82">
        <v>0.32</v>
      </c>
      <c r="D26" s="81">
        <f t="shared" si="0"/>
        <v>1.0032000000000001</v>
      </c>
      <c r="E26" s="78"/>
    </row>
    <row r="27" spans="1:5" ht="15.75" x14ac:dyDescent="0.25">
      <c r="A27" s="78"/>
      <c r="B27" s="79">
        <v>43070</v>
      </c>
      <c r="C27" s="82">
        <v>0.35</v>
      </c>
      <c r="D27" s="81">
        <f t="shared" si="0"/>
        <v>1.0035000000000001</v>
      </c>
      <c r="E27" s="78"/>
    </row>
    <row r="28" spans="1:5" ht="15.75" x14ac:dyDescent="0.25">
      <c r="A28" s="78"/>
      <c r="B28" s="78"/>
      <c r="C28" s="78"/>
      <c r="D28" s="81"/>
      <c r="E28" s="78"/>
    </row>
    <row r="29" spans="1:5" ht="15.75" x14ac:dyDescent="0.25">
      <c r="A29" s="78"/>
      <c r="B29" s="79">
        <v>43101</v>
      </c>
      <c r="C29" s="82">
        <v>0.39</v>
      </c>
      <c r="D29" s="81">
        <f t="shared" si="0"/>
        <v>1.0039</v>
      </c>
      <c r="E29" s="78"/>
    </row>
    <row r="30" spans="1:5" ht="15.75" x14ac:dyDescent="0.25">
      <c r="A30" s="78"/>
      <c r="B30" s="79">
        <v>43132</v>
      </c>
      <c r="C30" s="82">
        <v>0.38</v>
      </c>
      <c r="D30" s="81">
        <f t="shared" si="0"/>
        <v>1.0038</v>
      </c>
      <c r="E30" s="78"/>
    </row>
    <row r="31" spans="1:5" ht="15.75" x14ac:dyDescent="0.25">
      <c r="A31" s="78"/>
      <c r="B31" s="79">
        <v>43160</v>
      </c>
      <c r="C31" s="82">
        <v>0.1</v>
      </c>
      <c r="D31" s="81">
        <f t="shared" si="0"/>
        <v>1.0009999999999999</v>
      </c>
      <c r="E31" s="78"/>
    </row>
    <row r="32" spans="1:5" ht="15.75" x14ac:dyDescent="0.25">
      <c r="A32" s="78"/>
      <c r="B32" s="79">
        <v>43191</v>
      </c>
      <c r="C32" s="82">
        <v>0.21</v>
      </c>
      <c r="D32" s="81">
        <f t="shared" si="0"/>
        <v>1.0021</v>
      </c>
      <c r="E32" s="78"/>
    </row>
    <row r="33" spans="1:5" ht="15.75" x14ac:dyDescent="0.25">
      <c r="A33" s="78"/>
      <c r="B33" s="79">
        <v>43221</v>
      </c>
      <c r="C33" s="82">
        <v>0.14000000000000001</v>
      </c>
      <c r="D33" s="81">
        <f t="shared" si="0"/>
        <v>1.0014000000000001</v>
      </c>
      <c r="E33" s="78"/>
    </row>
    <row r="34" spans="1:5" ht="15.75" x14ac:dyDescent="0.25">
      <c r="A34" s="78"/>
      <c r="B34" s="79">
        <v>43252</v>
      </c>
      <c r="C34" s="82">
        <v>1.1100000000000001</v>
      </c>
      <c r="D34" s="81">
        <f t="shared" si="0"/>
        <v>1.0111000000000001</v>
      </c>
      <c r="E34" s="78"/>
    </row>
    <row r="35" spans="1:5" ht="15.75" x14ac:dyDescent="0.25">
      <c r="A35" s="78"/>
      <c r="B35" s="79">
        <v>43282</v>
      </c>
      <c r="C35" s="82">
        <v>0.64</v>
      </c>
      <c r="D35" s="81">
        <f t="shared" si="0"/>
        <v>1.0064</v>
      </c>
      <c r="E35" s="78"/>
    </row>
    <row r="36" spans="1:5" ht="15.75" x14ac:dyDescent="0.25">
      <c r="A36" s="78"/>
      <c r="B36" s="79">
        <v>43313</v>
      </c>
      <c r="C36" s="82">
        <v>0.13</v>
      </c>
      <c r="D36" s="81">
        <f t="shared" si="0"/>
        <v>1.0013000000000001</v>
      </c>
      <c r="E36" s="78"/>
    </row>
    <row r="37" spans="1:5" ht="15.75" x14ac:dyDescent="0.25">
      <c r="A37" s="78"/>
      <c r="B37" s="79">
        <v>43344</v>
      </c>
      <c r="C37" s="82">
        <v>0.09</v>
      </c>
      <c r="D37" s="81">
        <f t="shared" si="0"/>
        <v>1.0008999999999999</v>
      </c>
      <c r="E37" s="78"/>
    </row>
    <row r="38" spans="1:5" ht="15.75" x14ac:dyDescent="0.25">
      <c r="A38" s="78"/>
      <c r="B38" s="79">
        <v>43374</v>
      </c>
      <c r="C38" s="82">
        <v>0.57999999999999996</v>
      </c>
      <c r="D38" s="81">
        <f t="shared" si="0"/>
        <v>1.0058</v>
      </c>
      <c r="E38" s="78"/>
    </row>
    <row r="39" spans="1:5" ht="15.75" x14ac:dyDescent="0.25">
      <c r="A39" s="78"/>
      <c r="B39" s="79">
        <v>43405</v>
      </c>
      <c r="C39" s="82">
        <v>0.19</v>
      </c>
      <c r="D39" s="81">
        <f t="shared" si="0"/>
        <v>1.0019</v>
      </c>
      <c r="E39" s="78"/>
    </row>
    <row r="40" spans="1:5" ht="15.75" x14ac:dyDescent="0.25">
      <c r="A40" s="78"/>
      <c r="B40" s="79">
        <v>43435</v>
      </c>
      <c r="C40" s="82">
        <v>-0.16</v>
      </c>
      <c r="D40" s="81">
        <f t="shared" si="0"/>
        <v>0.99839999999999995</v>
      </c>
      <c r="E40" s="78"/>
    </row>
    <row r="41" spans="1:5" ht="15.75" x14ac:dyDescent="0.25">
      <c r="A41" s="78"/>
      <c r="B41" s="78"/>
      <c r="C41" s="78"/>
      <c r="D41" s="81"/>
      <c r="E41" s="78"/>
    </row>
    <row r="42" spans="1:5" ht="15.75" x14ac:dyDescent="0.25">
      <c r="A42" s="78"/>
      <c r="B42" s="79">
        <v>43466</v>
      </c>
      <c r="C42" s="82">
        <v>0.3</v>
      </c>
      <c r="D42" s="81">
        <f t="shared" si="0"/>
        <v>1.0029999999999999</v>
      </c>
      <c r="E42" s="78"/>
    </row>
    <row r="43" spans="1:5" ht="15.75" x14ac:dyDescent="0.25">
      <c r="A43" s="78"/>
      <c r="B43" s="79">
        <v>43497</v>
      </c>
      <c r="C43" s="82">
        <v>0.34</v>
      </c>
      <c r="D43" s="81">
        <f t="shared" si="0"/>
        <v>1.0034000000000001</v>
      </c>
      <c r="E43" s="78"/>
    </row>
    <row r="44" spans="1:5" ht="15.75" x14ac:dyDescent="0.25">
      <c r="A44" s="78"/>
      <c r="B44" s="79">
        <v>43525</v>
      </c>
      <c r="C44" s="82">
        <v>0.54</v>
      </c>
      <c r="D44" s="81">
        <f t="shared" si="0"/>
        <v>1.0054000000000001</v>
      </c>
      <c r="E44" s="78"/>
    </row>
    <row r="45" spans="1:5" ht="15.75" x14ac:dyDescent="0.25">
      <c r="A45" s="78"/>
      <c r="B45" s="79">
        <v>43556</v>
      </c>
      <c r="C45" s="82">
        <v>0.72</v>
      </c>
      <c r="D45" s="81">
        <f t="shared" si="0"/>
        <v>1.0072000000000001</v>
      </c>
      <c r="E45" s="78"/>
    </row>
    <row r="46" spans="1:5" ht="15.75" x14ac:dyDescent="0.25">
      <c r="A46" s="78"/>
      <c r="B46" s="79">
        <v>43586</v>
      </c>
      <c r="C46" s="82">
        <v>0.35</v>
      </c>
      <c r="D46" s="81">
        <f t="shared" si="0"/>
        <v>1.0035000000000001</v>
      </c>
      <c r="E46" s="78"/>
    </row>
    <row r="47" spans="1:5" ht="15.75" x14ac:dyDescent="0.25">
      <c r="A47" s="78"/>
      <c r="B47" s="79">
        <v>43617</v>
      </c>
      <c r="C47" s="82">
        <v>0.06</v>
      </c>
      <c r="D47" s="81">
        <f t="shared" si="0"/>
        <v>1.0005999999999999</v>
      </c>
      <c r="E47" s="78"/>
    </row>
    <row r="48" spans="1:5" ht="15.75" x14ac:dyDescent="0.25">
      <c r="A48" s="78"/>
      <c r="B48" s="79">
        <v>43647</v>
      </c>
      <c r="C48" s="82">
        <v>0.09</v>
      </c>
      <c r="D48" s="81">
        <f t="shared" si="0"/>
        <v>1.0008999999999999</v>
      </c>
      <c r="E48" s="78"/>
    </row>
    <row r="49" spans="1:5" ht="15.75" x14ac:dyDescent="0.25">
      <c r="A49" s="78"/>
      <c r="B49" s="79">
        <v>43678</v>
      </c>
      <c r="C49" s="82">
        <v>0.08</v>
      </c>
      <c r="D49" s="81">
        <f t="shared" si="0"/>
        <v>1.0007999999999999</v>
      </c>
      <c r="E49" s="78"/>
    </row>
    <row r="50" spans="1:5" ht="15.75" x14ac:dyDescent="0.25">
      <c r="A50" s="78"/>
      <c r="B50" s="79">
        <v>43709</v>
      </c>
      <c r="C50" s="82">
        <v>0.09</v>
      </c>
      <c r="D50" s="81">
        <f t="shared" si="0"/>
        <v>1.0008999999999999</v>
      </c>
      <c r="E50" s="78"/>
    </row>
    <row r="51" spans="1:5" ht="15.75" x14ac:dyDescent="0.25">
      <c r="A51" s="78"/>
      <c r="B51" s="79">
        <v>43739</v>
      </c>
      <c r="C51" s="82">
        <v>0.09</v>
      </c>
      <c r="D51" s="81">
        <f t="shared" si="0"/>
        <v>1.0008999999999999</v>
      </c>
      <c r="E51" s="78"/>
    </row>
    <row r="52" spans="1:5" ht="15.75" x14ac:dyDescent="0.25">
      <c r="A52" s="78"/>
      <c r="B52" s="79">
        <v>43770</v>
      </c>
      <c r="C52" s="82">
        <v>0.14000000000000001</v>
      </c>
      <c r="D52" s="81">
        <f t="shared" si="0"/>
        <v>1.0014000000000001</v>
      </c>
      <c r="E52" s="78"/>
    </row>
    <row r="53" spans="1:5" ht="15.75" x14ac:dyDescent="0.25">
      <c r="A53" s="78"/>
      <c r="B53" s="79">
        <v>43800</v>
      </c>
      <c r="C53" s="82">
        <v>1.05</v>
      </c>
      <c r="D53" s="81">
        <f t="shared" si="0"/>
        <v>1.0105</v>
      </c>
      <c r="E53" s="78"/>
    </row>
    <row r="54" spans="1:5" ht="15.75" x14ac:dyDescent="0.25">
      <c r="A54" s="78"/>
      <c r="B54" s="78"/>
      <c r="C54" s="78"/>
      <c r="D54" s="81"/>
      <c r="E54" s="78"/>
    </row>
    <row r="55" spans="1:5" ht="15.75" x14ac:dyDescent="0.25">
      <c r="A55" s="78"/>
      <c r="B55" s="79">
        <v>43831</v>
      </c>
      <c r="C55" s="82">
        <v>0.71</v>
      </c>
      <c r="D55" s="81">
        <f t="shared" si="0"/>
        <v>1.0071000000000001</v>
      </c>
      <c r="E55" s="78"/>
    </row>
    <row r="56" spans="1:5" ht="15.75" x14ac:dyDescent="0.25">
      <c r="A56" s="78"/>
      <c r="B56" s="79">
        <v>43862</v>
      </c>
      <c r="C56" s="82">
        <v>0.22</v>
      </c>
      <c r="D56" s="81">
        <f t="shared" si="0"/>
        <v>1.0022</v>
      </c>
      <c r="E56" s="78"/>
    </row>
    <row r="57" spans="1:5" ht="15.75" x14ac:dyDescent="0.25">
      <c r="A57" s="78"/>
      <c r="B57" s="79">
        <v>43891</v>
      </c>
      <c r="C57" s="82">
        <v>0.02</v>
      </c>
      <c r="D57" s="81">
        <f t="shared" si="0"/>
        <v>1.0002</v>
      </c>
      <c r="E57" s="78"/>
    </row>
    <row r="58" spans="1:5" ht="15.75" x14ac:dyDescent="0.25">
      <c r="A58" s="78"/>
      <c r="B58" s="79">
        <v>43922</v>
      </c>
      <c r="C58" s="82">
        <v>-0.01</v>
      </c>
      <c r="D58" s="81">
        <f t="shared" si="0"/>
        <v>0.99990000000000001</v>
      </c>
      <c r="E58" s="78"/>
    </row>
    <row r="59" spans="1:5" ht="15.75" x14ac:dyDescent="0.25">
      <c r="A59" s="78"/>
      <c r="B59" s="79">
        <v>43952</v>
      </c>
      <c r="C59" s="82">
        <v>-0.59</v>
      </c>
      <c r="D59" s="81">
        <f t="shared" si="0"/>
        <v>0.99409999999999998</v>
      </c>
      <c r="E59" s="78"/>
    </row>
    <row r="60" spans="1:5" ht="15.75" x14ac:dyDescent="0.25">
      <c r="A60" s="78"/>
      <c r="B60" s="79">
        <v>43983</v>
      </c>
      <c r="C60" s="82">
        <v>0.02</v>
      </c>
      <c r="D60" s="81">
        <f t="shared" si="0"/>
        <v>1.0002</v>
      </c>
      <c r="E60" s="78"/>
    </row>
    <row r="61" spans="1:5" ht="15.75" x14ac:dyDescent="0.25">
      <c r="A61" s="78"/>
      <c r="B61" s="79">
        <v>44013</v>
      </c>
      <c r="C61" s="82">
        <v>0.3</v>
      </c>
      <c r="D61" s="81">
        <f t="shared" si="0"/>
        <v>1.0029999999999999</v>
      </c>
      <c r="E61" s="78"/>
    </row>
    <row r="62" spans="1:5" ht="15.75" x14ac:dyDescent="0.25">
      <c r="A62" s="78"/>
      <c r="B62" s="79">
        <v>44044</v>
      </c>
      <c r="C62" s="82">
        <v>0.23</v>
      </c>
      <c r="D62" s="81">
        <f t="shared" si="0"/>
        <v>1.0023</v>
      </c>
      <c r="E62" s="78"/>
    </row>
    <row r="63" spans="1:5" ht="15.75" x14ac:dyDescent="0.25">
      <c r="A63" s="78"/>
      <c r="B63" s="79">
        <v>44075</v>
      </c>
      <c r="C63" s="82">
        <v>0.45</v>
      </c>
      <c r="D63" s="81">
        <f t="shared" si="0"/>
        <v>1.0044999999999999</v>
      </c>
      <c r="E63" s="78"/>
    </row>
    <row r="64" spans="1:5" ht="15.75" x14ac:dyDescent="0.25">
      <c r="A64" s="78"/>
      <c r="B64" s="79">
        <v>44105</v>
      </c>
      <c r="C64" s="82">
        <v>0.94</v>
      </c>
      <c r="D64" s="81">
        <f t="shared" si="0"/>
        <v>1.0094000000000001</v>
      </c>
      <c r="E64" s="78"/>
    </row>
    <row r="65" spans="1:5" ht="15.75" x14ac:dyDescent="0.25">
      <c r="A65" s="78"/>
      <c r="B65" s="79">
        <v>44136</v>
      </c>
      <c r="C65" s="82">
        <v>0.81</v>
      </c>
      <c r="D65" s="81">
        <f t="shared" si="0"/>
        <v>1.0081</v>
      </c>
      <c r="E65" s="78"/>
    </row>
    <row r="66" spans="1:5" ht="15.75" x14ac:dyDescent="0.25">
      <c r="A66" s="78"/>
      <c r="B66" s="79">
        <v>44166</v>
      </c>
      <c r="C66" s="82">
        <v>1.06</v>
      </c>
      <c r="D66" s="81">
        <f t="shared" si="0"/>
        <v>1.0105999999999999</v>
      </c>
      <c r="E66" s="78"/>
    </row>
    <row r="67" spans="1:5" ht="15.75" x14ac:dyDescent="0.25">
      <c r="A67" s="78"/>
      <c r="B67" s="78"/>
      <c r="C67" s="78"/>
      <c r="D67" s="81"/>
      <c r="E67" s="78"/>
    </row>
    <row r="68" spans="1:5" ht="15.75" x14ac:dyDescent="0.25">
      <c r="A68" s="78"/>
      <c r="B68" s="79">
        <v>44197</v>
      </c>
      <c r="C68" s="82">
        <v>0.78</v>
      </c>
      <c r="D68" s="81">
        <f t="shared" ref="D68:D79" si="1">(C68/100)+1</f>
        <v>1.0078</v>
      </c>
      <c r="E68" s="78"/>
    </row>
    <row r="69" spans="1:5" ht="15.75" x14ac:dyDescent="0.25">
      <c r="A69" s="78"/>
      <c r="B69" s="79">
        <v>44228</v>
      </c>
      <c r="C69" s="82">
        <v>0.48</v>
      </c>
      <c r="D69" s="81">
        <f t="shared" si="1"/>
        <v>1.0047999999999999</v>
      </c>
      <c r="E69" s="78"/>
    </row>
    <row r="70" spans="1:5" ht="15.75" x14ac:dyDescent="0.25">
      <c r="A70" s="78"/>
      <c r="B70" s="79">
        <v>44256</v>
      </c>
      <c r="C70" s="82">
        <v>0.93</v>
      </c>
      <c r="D70" s="81">
        <f t="shared" si="1"/>
        <v>1.0093000000000001</v>
      </c>
      <c r="E70" s="78"/>
    </row>
    <row r="71" spans="1:5" ht="15.75" x14ac:dyDescent="0.25">
      <c r="A71" s="78"/>
      <c r="B71" s="79">
        <v>44287</v>
      </c>
      <c r="C71" s="82">
        <v>0.6</v>
      </c>
      <c r="D71" s="81">
        <f t="shared" si="1"/>
        <v>1.006</v>
      </c>
      <c r="E71" s="78"/>
    </row>
    <row r="72" spans="1:5" ht="15.75" x14ac:dyDescent="0.25">
      <c r="A72" s="78"/>
      <c r="B72" s="79">
        <v>44317</v>
      </c>
      <c r="C72" s="82">
        <v>0.44</v>
      </c>
      <c r="D72" s="81">
        <f t="shared" si="1"/>
        <v>1.0044</v>
      </c>
      <c r="E72" s="78"/>
    </row>
    <row r="73" spans="1:5" ht="15.75" x14ac:dyDescent="0.25">
      <c r="A73" s="78"/>
      <c r="B73" s="79">
        <v>44348</v>
      </c>
      <c r="C73" s="82">
        <v>0.83</v>
      </c>
      <c r="D73" s="81">
        <f t="shared" si="1"/>
        <v>1.0083</v>
      </c>
      <c r="E73" s="78"/>
    </row>
    <row r="74" spans="1:5" ht="15.75" x14ac:dyDescent="0.25">
      <c r="A74" s="78"/>
      <c r="B74" s="79">
        <v>44378</v>
      </c>
      <c r="C74" s="82">
        <v>0.72</v>
      </c>
      <c r="D74" s="81">
        <f t="shared" si="1"/>
        <v>1.0072000000000001</v>
      </c>
      <c r="E74" s="78"/>
    </row>
    <row r="75" spans="1:5" ht="15.75" x14ac:dyDescent="0.25">
      <c r="A75" s="78"/>
      <c r="B75" s="79">
        <v>44409</v>
      </c>
      <c r="C75" s="82">
        <v>0.89</v>
      </c>
      <c r="D75" s="81">
        <f t="shared" si="1"/>
        <v>1.0088999999999999</v>
      </c>
      <c r="E75" s="78"/>
    </row>
    <row r="76" spans="1:5" ht="15.75" x14ac:dyDescent="0.25">
      <c r="A76" s="78"/>
      <c r="B76" s="79">
        <v>44440</v>
      </c>
      <c r="C76" s="82">
        <v>1.1399999999999999</v>
      </c>
      <c r="D76" s="81">
        <f t="shared" si="1"/>
        <v>1.0114000000000001</v>
      </c>
      <c r="E76" s="78"/>
    </row>
    <row r="77" spans="1:5" ht="15.75" x14ac:dyDescent="0.25">
      <c r="A77" s="78"/>
      <c r="B77" s="79">
        <v>44470</v>
      </c>
      <c r="C77" s="82">
        <v>1.2</v>
      </c>
      <c r="D77" s="81">
        <f t="shared" si="1"/>
        <v>1.012</v>
      </c>
      <c r="E77" s="78"/>
    </row>
    <row r="78" spans="1:5" ht="15.75" x14ac:dyDescent="0.25">
      <c r="A78" s="78"/>
      <c r="B78" s="79">
        <v>44501</v>
      </c>
      <c r="C78" s="82">
        <v>1.17</v>
      </c>
      <c r="D78" s="81">
        <f t="shared" si="1"/>
        <v>1.0117</v>
      </c>
      <c r="E78" s="78"/>
    </row>
    <row r="79" spans="1:5" ht="15.75" x14ac:dyDescent="0.25">
      <c r="A79" s="78"/>
      <c r="B79" s="79">
        <v>44531</v>
      </c>
      <c r="C79" s="82">
        <v>0.78</v>
      </c>
      <c r="D79" s="81">
        <f t="shared" si="1"/>
        <v>1.0078</v>
      </c>
      <c r="E79" s="78"/>
    </row>
    <row r="80" spans="1:5" ht="15.75" x14ac:dyDescent="0.25">
      <c r="A80" s="78"/>
      <c r="B80" s="78"/>
      <c r="C80" s="78"/>
      <c r="D80" s="81"/>
      <c r="E80" s="78"/>
    </row>
  </sheetData>
  <hyperlinks>
    <hyperlink ref="B1" r:id="rId1" xr:uid="{2E27B090-CF92-4DBE-A963-CFDD575C8CED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8BB9B-5E1A-4BD1-B68D-71409A587E95}">
  <dimension ref="A1:Q80"/>
  <sheetViews>
    <sheetView topLeftCell="A52" zoomScale="115" zoomScaleNormal="115" workbookViewId="0">
      <selection activeCell="E40" sqref="E40"/>
    </sheetView>
  </sheetViews>
  <sheetFormatPr defaultColWidth="11.5703125" defaultRowHeight="15" x14ac:dyDescent="0.25"/>
  <cols>
    <col min="1" max="1" width="6.42578125" bestFit="1" customWidth="1"/>
    <col min="2" max="2" width="13.28515625" customWidth="1"/>
    <col min="3" max="3" width="16.42578125" customWidth="1"/>
    <col min="4" max="4" width="16.140625" customWidth="1"/>
    <col min="5" max="5" width="21.5703125" customWidth="1"/>
    <col min="13" max="13" width="16" customWidth="1"/>
  </cols>
  <sheetData>
    <row r="1" spans="1:13" x14ac:dyDescent="0.25">
      <c r="A1" s="102" t="s">
        <v>14</v>
      </c>
      <c r="B1" s="103" t="s">
        <v>15</v>
      </c>
      <c r="C1" s="102"/>
      <c r="D1" s="102"/>
      <c r="E1" s="102"/>
      <c r="F1" s="102"/>
      <c r="G1" s="102"/>
      <c r="H1" s="26"/>
      <c r="I1" s="26"/>
      <c r="J1" s="26"/>
      <c r="K1" s="26"/>
      <c r="L1" s="26"/>
    </row>
    <row r="2" spans="1:13" s="27" customFormat="1" x14ac:dyDescent="0.25">
      <c r="A2" s="104"/>
      <c r="B2" s="104"/>
      <c r="C2" s="104"/>
      <c r="D2" s="104"/>
      <c r="E2" s="104"/>
      <c r="F2" s="104"/>
      <c r="G2" s="104"/>
    </row>
    <row r="3" spans="1:13" s="27" customFormat="1" ht="20.25" x14ac:dyDescent="0.3">
      <c r="A3" s="105" t="s">
        <v>23</v>
      </c>
      <c r="B3" s="105"/>
      <c r="C3" s="105"/>
      <c r="D3" s="105"/>
      <c r="E3" s="105"/>
      <c r="F3" s="106"/>
      <c r="G3" s="106"/>
      <c r="H3" s="36"/>
      <c r="I3" s="36"/>
      <c r="J3" s="36"/>
      <c r="K3" s="36"/>
      <c r="L3" s="36"/>
      <c r="M3" s="31"/>
    </row>
    <row r="4" spans="1:13" s="27" customFormat="1" ht="20.25" x14ac:dyDescent="0.3">
      <c r="A4" s="107" t="s">
        <v>0</v>
      </c>
      <c r="B4" s="107" t="s">
        <v>1</v>
      </c>
      <c r="C4" s="107" t="s">
        <v>20</v>
      </c>
      <c r="D4" s="107" t="s">
        <v>21</v>
      </c>
      <c r="E4" s="107" t="s">
        <v>22</v>
      </c>
      <c r="F4" s="108"/>
      <c r="G4" s="109"/>
      <c r="H4" s="34"/>
      <c r="I4" s="34"/>
      <c r="J4" s="34"/>
      <c r="K4" s="34"/>
      <c r="L4" s="34"/>
      <c r="M4" s="31"/>
    </row>
    <row r="5" spans="1:13" s="27" customFormat="1" ht="15.75" x14ac:dyDescent="0.25">
      <c r="A5" s="104">
        <v>1</v>
      </c>
      <c r="B5" s="110">
        <v>43466</v>
      </c>
      <c r="C5" s="111">
        <v>0.3715</v>
      </c>
      <c r="D5" s="112">
        <f t="shared" ref="D5:D32" si="0">C5/100+1</f>
        <v>1.0037149999999999</v>
      </c>
      <c r="E5" s="104">
        <f t="shared" ref="E5:E34" si="1">D5*E6</f>
        <v>1.182050090477577</v>
      </c>
      <c r="F5" s="104"/>
      <c r="G5" s="104"/>
    </row>
    <row r="6" spans="1:13" s="27" customFormat="1" ht="15.75" x14ac:dyDescent="0.25">
      <c r="A6" s="104">
        <v>2</v>
      </c>
      <c r="B6" s="110">
        <v>43497</v>
      </c>
      <c r="C6" s="113">
        <v>0.3715</v>
      </c>
      <c r="D6" s="114">
        <f t="shared" si="0"/>
        <v>1.0037149999999999</v>
      </c>
      <c r="E6" s="104">
        <f t="shared" si="1"/>
        <v>1.1776750277494878</v>
      </c>
      <c r="F6" s="104"/>
      <c r="G6" s="104"/>
    </row>
    <row r="7" spans="1:13" s="27" customFormat="1" ht="15.75" x14ac:dyDescent="0.25">
      <c r="A7" s="104">
        <v>3</v>
      </c>
      <c r="B7" s="110">
        <v>43525</v>
      </c>
      <c r="C7" s="117">
        <v>0.3715</v>
      </c>
      <c r="D7" s="114">
        <f t="shared" si="0"/>
        <v>1.0037149999999999</v>
      </c>
      <c r="E7" s="104">
        <f t="shared" si="1"/>
        <v>1.1733161582216944</v>
      </c>
      <c r="F7" s="104"/>
      <c r="G7" s="104"/>
    </row>
    <row r="8" spans="1:13" s="27" customFormat="1" ht="15.75" x14ac:dyDescent="0.25">
      <c r="A8" s="104">
        <v>4</v>
      </c>
      <c r="B8" s="110">
        <v>43556</v>
      </c>
      <c r="C8" s="113">
        <v>0.3715</v>
      </c>
      <c r="D8" s="114">
        <f t="shared" si="0"/>
        <v>1.0037149999999999</v>
      </c>
      <c r="E8" s="104">
        <f t="shared" si="1"/>
        <v>1.1689734219591164</v>
      </c>
      <c r="F8" s="104"/>
      <c r="G8" s="104"/>
    </row>
    <row r="9" spans="1:13" s="27" customFormat="1" ht="15.75" x14ac:dyDescent="0.25">
      <c r="A9" s="104">
        <v>5</v>
      </c>
      <c r="B9" s="110">
        <v>43586</v>
      </c>
      <c r="C9" s="113">
        <v>0.3715</v>
      </c>
      <c r="D9" s="114">
        <f t="shared" si="0"/>
        <v>1.0037149999999999</v>
      </c>
      <c r="E9" s="104">
        <f t="shared" si="1"/>
        <v>1.1646467592485084</v>
      </c>
      <c r="F9" s="104"/>
      <c r="G9" s="104"/>
    </row>
    <row r="10" spans="1:13" s="27" customFormat="1" ht="15.75" x14ac:dyDescent="0.25">
      <c r="A10" s="104">
        <v>6</v>
      </c>
      <c r="B10" s="110">
        <v>43617</v>
      </c>
      <c r="C10" s="113">
        <v>0.3715</v>
      </c>
      <c r="D10" s="114">
        <f t="shared" si="0"/>
        <v>1.0037149999999999</v>
      </c>
      <c r="E10" s="104">
        <f t="shared" si="1"/>
        <v>1.1603361105976382</v>
      </c>
      <c r="F10" s="115"/>
      <c r="G10" s="115"/>
      <c r="H10" s="29"/>
      <c r="I10" s="29"/>
      <c r="J10" s="29"/>
      <c r="K10" s="29"/>
      <c r="L10" s="29"/>
    </row>
    <row r="11" spans="1:13" s="27" customFormat="1" ht="15.75" x14ac:dyDescent="0.25">
      <c r="A11" s="104">
        <v>7</v>
      </c>
      <c r="B11" s="110">
        <v>43647</v>
      </c>
      <c r="C11" s="113">
        <v>0.3715</v>
      </c>
      <c r="D11" s="114">
        <f t="shared" si="0"/>
        <v>1.0037149999999999</v>
      </c>
      <c r="E11" s="104">
        <f t="shared" si="1"/>
        <v>1.1560414167344697</v>
      </c>
      <c r="F11" s="115"/>
      <c r="G11" s="115"/>
      <c r="H11" s="29"/>
      <c r="I11" s="29"/>
      <c r="J11" s="29"/>
      <c r="K11" s="29"/>
      <c r="L11" s="29"/>
    </row>
    <row r="12" spans="1:13" s="27" customFormat="1" ht="15.75" x14ac:dyDescent="0.25">
      <c r="A12" s="104">
        <v>8</v>
      </c>
      <c r="B12" s="110">
        <v>43678</v>
      </c>
      <c r="C12" s="113">
        <v>0.34339999999999998</v>
      </c>
      <c r="D12" s="114">
        <f t="shared" si="0"/>
        <v>1.0034339999999999</v>
      </c>
      <c r="E12" s="104">
        <f t="shared" si="1"/>
        <v>1.1517626186063472</v>
      </c>
      <c r="F12" s="115"/>
      <c r="G12" s="115"/>
      <c r="H12" s="29"/>
      <c r="I12" s="29"/>
      <c r="J12" s="29"/>
      <c r="K12" s="29"/>
      <c r="L12" s="29"/>
    </row>
    <row r="13" spans="1:13" s="27" customFormat="1" ht="15.75" x14ac:dyDescent="0.25">
      <c r="A13" s="104">
        <v>9</v>
      </c>
      <c r="B13" s="110">
        <v>43709</v>
      </c>
      <c r="C13" s="113">
        <v>0.34339999999999998</v>
      </c>
      <c r="D13" s="114">
        <f t="shared" si="0"/>
        <v>1.0034339999999999</v>
      </c>
      <c r="E13" s="104">
        <f t="shared" si="1"/>
        <v>1.1478210012879246</v>
      </c>
      <c r="F13" s="115"/>
      <c r="G13" s="115"/>
      <c r="H13" s="29"/>
      <c r="I13" s="29"/>
      <c r="J13" s="29"/>
      <c r="K13" s="29"/>
      <c r="L13" s="29"/>
    </row>
    <row r="14" spans="1:13" s="27" customFormat="1" ht="15.75" x14ac:dyDescent="0.25">
      <c r="A14" s="104">
        <v>10</v>
      </c>
      <c r="B14" s="110">
        <v>43739</v>
      </c>
      <c r="C14" s="113">
        <v>0.31530000000000002</v>
      </c>
      <c r="D14" s="114">
        <f t="shared" si="0"/>
        <v>1.003153</v>
      </c>
      <c r="E14" s="104">
        <f t="shared" si="1"/>
        <v>1.1438928731614881</v>
      </c>
      <c r="F14" s="115"/>
      <c r="G14" s="115"/>
      <c r="H14" s="29"/>
      <c r="I14" s="29"/>
      <c r="J14" s="29"/>
      <c r="K14" s="29"/>
      <c r="L14" s="29"/>
    </row>
    <row r="15" spans="1:13" s="27" customFormat="1" ht="15.75" x14ac:dyDescent="0.25">
      <c r="A15" s="104">
        <v>11</v>
      </c>
      <c r="B15" s="110">
        <v>43770</v>
      </c>
      <c r="C15" s="113">
        <v>0.28710000000000002</v>
      </c>
      <c r="D15" s="114">
        <f t="shared" si="0"/>
        <v>1.0028710000000001</v>
      </c>
      <c r="E15" s="104">
        <f t="shared" si="1"/>
        <v>1.1402975150963892</v>
      </c>
      <c r="F15" s="115"/>
      <c r="G15" s="115"/>
      <c r="H15" s="29"/>
      <c r="I15" s="29"/>
      <c r="J15" s="29"/>
      <c r="K15" s="29"/>
      <c r="L15" s="29"/>
    </row>
    <row r="16" spans="1:13" s="27" customFormat="1" ht="15.75" x14ac:dyDescent="0.25">
      <c r="A16" s="104">
        <v>12</v>
      </c>
      <c r="B16" s="110">
        <v>43800</v>
      </c>
      <c r="C16" s="113">
        <v>0.28710000000000002</v>
      </c>
      <c r="D16" s="114">
        <f t="shared" si="0"/>
        <v>1.0028710000000001</v>
      </c>
      <c r="E16" s="104">
        <f t="shared" si="1"/>
        <v>1.1370330930861388</v>
      </c>
      <c r="F16" s="115"/>
      <c r="G16" s="115"/>
      <c r="H16" s="29"/>
      <c r="I16" s="29"/>
      <c r="J16" s="29"/>
      <c r="K16" s="29"/>
      <c r="L16" s="29"/>
    </row>
    <row r="17" spans="1:17" s="27" customFormat="1" ht="15.75" x14ac:dyDescent="0.25">
      <c r="A17" s="104">
        <v>13</v>
      </c>
      <c r="B17" s="110">
        <v>43831</v>
      </c>
      <c r="C17" s="111">
        <v>0.25879999999999997</v>
      </c>
      <c r="D17" s="112">
        <f t="shared" si="0"/>
        <v>1.002588</v>
      </c>
      <c r="E17" s="104">
        <f t="shared" si="1"/>
        <v>1.1337780164010514</v>
      </c>
      <c r="F17" s="115"/>
      <c r="G17" s="115"/>
      <c r="H17" s="29"/>
      <c r="I17" s="29"/>
      <c r="J17" s="29"/>
      <c r="K17" s="29"/>
      <c r="L17" s="29"/>
    </row>
    <row r="18" spans="1:17" s="27" customFormat="1" ht="15.75" x14ac:dyDescent="0.25">
      <c r="A18" s="104">
        <v>14</v>
      </c>
      <c r="B18" s="110">
        <v>43862</v>
      </c>
      <c r="C18" s="113">
        <v>0.25879999999999997</v>
      </c>
      <c r="D18" s="114">
        <f t="shared" si="0"/>
        <v>1.002588</v>
      </c>
      <c r="E18" s="104">
        <f t="shared" si="1"/>
        <v>1.1308513730476042</v>
      </c>
      <c r="F18" s="115"/>
      <c r="G18" s="115"/>
      <c r="H18" s="29"/>
      <c r="I18" s="29"/>
      <c r="J18" s="29"/>
      <c r="K18" s="29"/>
      <c r="L18" s="29"/>
    </row>
    <row r="19" spans="1:17" s="27" customFormat="1" ht="15.75" x14ac:dyDescent="0.25">
      <c r="A19" s="104">
        <v>15</v>
      </c>
      <c r="B19" s="110">
        <v>43891</v>
      </c>
      <c r="C19" s="113">
        <v>0.24460000000000001</v>
      </c>
      <c r="D19" s="114">
        <f t="shared" si="0"/>
        <v>1.0024459999999999</v>
      </c>
      <c r="E19" s="104">
        <f t="shared" si="1"/>
        <v>1.1279322842958466</v>
      </c>
      <c r="F19" s="118"/>
      <c r="G19" s="118"/>
      <c r="H19" s="32"/>
      <c r="I19" s="32"/>
      <c r="J19" s="32"/>
      <c r="K19" s="32"/>
      <c r="L19" s="32"/>
      <c r="M19" s="32"/>
      <c r="N19" s="32"/>
      <c r="O19" s="32"/>
      <c r="P19" s="32"/>
      <c r="Q19" s="29"/>
    </row>
    <row r="20" spans="1:17" s="27" customFormat="1" ht="15.75" x14ac:dyDescent="0.25">
      <c r="A20" s="104">
        <v>16</v>
      </c>
      <c r="B20" s="110">
        <v>43922</v>
      </c>
      <c r="C20" s="113">
        <v>0.2162</v>
      </c>
      <c r="D20" s="114">
        <f t="shared" si="0"/>
        <v>1.002162</v>
      </c>
      <c r="E20" s="104">
        <f t="shared" si="1"/>
        <v>1.1251800937864449</v>
      </c>
      <c r="F20" s="115"/>
      <c r="G20" s="115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s="27" customFormat="1" ht="15.75" x14ac:dyDescent="0.25">
      <c r="A21" s="104">
        <v>17</v>
      </c>
      <c r="B21" s="110">
        <v>43952</v>
      </c>
      <c r="C21" s="113">
        <v>0.2162</v>
      </c>
      <c r="D21" s="114">
        <f t="shared" si="0"/>
        <v>1.002162</v>
      </c>
      <c r="E21" s="104">
        <f t="shared" si="1"/>
        <v>1.1227527024437616</v>
      </c>
      <c r="F21" s="115"/>
      <c r="G21" s="115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s="27" customFormat="1" ht="15.75" x14ac:dyDescent="0.25">
      <c r="A22" s="104">
        <v>18</v>
      </c>
      <c r="B22" s="110">
        <v>43983</v>
      </c>
      <c r="C22" s="113">
        <v>0.17330000000000001</v>
      </c>
      <c r="D22" s="114">
        <f t="shared" si="0"/>
        <v>1.001733</v>
      </c>
      <c r="E22" s="104">
        <f t="shared" si="1"/>
        <v>1.1203305477994192</v>
      </c>
      <c r="F22" s="115"/>
      <c r="G22" s="115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s="27" customFormat="1" ht="15.75" x14ac:dyDescent="0.25">
      <c r="A23" s="104">
        <v>19</v>
      </c>
      <c r="B23" s="110">
        <v>44013</v>
      </c>
      <c r="C23" s="113">
        <v>0.1303</v>
      </c>
      <c r="D23" s="114">
        <f t="shared" si="0"/>
        <v>1.0013030000000001</v>
      </c>
      <c r="E23" s="104">
        <f t="shared" si="1"/>
        <v>1.1183923738155968</v>
      </c>
      <c r="F23" s="115"/>
      <c r="G23" s="115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s="27" customFormat="1" ht="15.75" x14ac:dyDescent="0.25">
      <c r="A24" s="104">
        <v>20</v>
      </c>
      <c r="B24" s="110">
        <v>44044</v>
      </c>
      <c r="C24" s="113">
        <v>0.1303</v>
      </c>
      <c r="D24" s="114">
        <f t="shared" si="0"/>
        <v>1.0013030000000001</v>
      </c>
      <c r="E24" s="104">
        <f t="shared" si="1"/>
        <v>1.1169370048982143</v>
      </c>
      <c r="F24" s="115"/>
      <c r="G24" s="115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s="27" customFormat="1" ht="15.75" x14ac:dyDescent="0.25">
      <c r="A25" s="104">
        <v>21</v>
      </c>
      <c r="B25" s="110">
        <v>44075</v>
      </c>
      <c r="C25" s="113">
        <v>0.1159</v>
      </c>
      <c r="D25" s="114">
        <f t="shared" si="0"/>
        <v>1.0011589999999999</v>
      </c>
      <c r="E25" s="104">
        <f t="shared" si="1"/>
        <v>1.1154835298588082</v>
      </c>
      <c r="F25" s="115"/>
      <c r="G25" s="115"/>
      <c r="H25" s="29"/>
      <c r="I25" s="29"/>
      <c r="J25" s="33"/>
      <c r="K25" s="33"/>
      <c r="L25" s="33"/>
      <c r="M25" s="33"/>
      <c r="N25" s="33"/>
      <c r="O25" s="33"/>
      <c r="P25" s="33"/>
      <c r="Q25" s="29"/>
    </row>
    <row r="26" spans="1:17" s="27" customFormat="1" ht="15.75" x14ac:dyDescent="0.25">
      <c r="A26" s="104">
        <v>22</v>
      </c>
      <c r="B26" s="110">
        <v>44105</v>
      </c>
      <c r="C26" s="113">
        <v>0.1159</v>
      </c>
      <c r="D26" s="114">
        <f t="shared" si="0"/>
        <v>1.0011589999999999</v>
      </c>
      <c r="E26" s="104">
        <f t="shared" si="1"/>
        <v>1.1141921811208892</v>
      </c>
      <c r="F26" s="115"/>
      <c r="G26" s="115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s="27" customFormat="1" ht="15.75" x14ac:dyDescent="0.25">
      <c r="A27" s="104">
        <v>23</v>
      </c>
      <c r="B27" s="110">
        <v>44136</v>
      </c>
      <c r="C27" s="113">
        <v>0.1159</v>
      </c>
      <c r="D27" s="114">
        <f t="shared" si="0"/>
        <v>1.0011589999999999</v>
      </c>
      <c r="E27" s="104">
        <f t="shared" si="1"/>
        <v>1.1129023273235215</v>
      </c>
      <c r="F27" s="115"/>
      <c r="G27" s="115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s="27" customFormat="1" ht="15.75" x14ac:dyDescent="0.25">
      <c r="A28" s="104">
        <v>24</v>
      </c>
      <c r="B28" s="110">
        <v>44166</v>
      </c>
      <c r="C28" s="113">
        <v>0.1159</v>
      </c>
      <c r="D28" s="114">
        <f t="shared" si="0"/>
        <v>1.0011589999999999</v>
      </c>
      <c r="E28" s="104">
        <f t="shared" si="1"/>
        <v>1.1116139667360745</v>
      </c>
      <c r="F28" s="115"/>
      <c r="G28" s="115"/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1:17" s="27" customFormat="1" ht="15.75" x14ac:dyDescent="0.25">
      <c r="A29" s="104">
        <v>25</v>
      </c>
      <c r="B29" s="110">
        <v>44197</v>
      </c>
      <c r="C29" s="111">
        <v>0.1159</v>
      </c>
      <c r="D29" s="112">
        <f t="shared" si="0"/>
        <v>1.0011589999999999</v>
      </c>
      <c r="E29" s="104">
        <f t="shared" si="1"/>
        <v>1.1103270976299215</v>
      </c>
      <c r="F29" s="115"/>
      <c r="G29" s="115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1:17" s="27" customFormat="1" ht="15.75" x14ac:dyDescent="0.25">
      <c r="A30" s="104">
        <v>26</v>
      </c>
      <c r="B30" s="110">
        <v>44228</v>
      </c>
      <c r="C30" s="113">
        <v>0.1159</v>
      </c>
      <c r="D30" s="114">
        <f t="shared" si="0"/>
        <v>1.0011589999999999</v>
      </c>
      <c r="E30" s="104">
        <f t="shared" si="1"/>
        <v>1.1090417182784369</v>
      </c>
      <c r="F30" s="115"/>
      <c r="G30" s="115"/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1:17" s="27" customFormat="1" ht="15.75" x14ac:dyDescent="0.25">
      <c r="A31" s="104">
        <v>27</v>
      </c>
      <c r="B31" s="110">
        <v>44256</v>
      </c>
      <c r="C31" s="113">
        <v>0.1159</v>
      </c>
      <c r="D31" s="114">
        <f t="shared" si="0"/>
        <v>1.0011589999999999</v>
      </c>
      <c r="E31" s="104">
        <f t="shared" si="1"/>
        <v>1.1077578269569939</v>
      </c>
      <c r="F31" s="115"/>
      <c r="G31" s="115"/>
      <c r="H31" s="29"/>
      <c r="I31" s="29"/>
      <c r="J31" s="29"/>
      <c r="K31" s="29"/>
      <c r="L31" s="29"/>
    </row>
    <row r="32" spans="1:17" s="27" customFormat="1" ht="15.75" x14ac:dyDescent="0.25">
      <c r="A32" s="104">
        <v>28</v>
      </c>
      <c r="B32" s="110">
        <v>44287</v>
      </c>
      <c r="C32" s="113">
        <v>0.1159</v>
      </c>
      <c r="D32" s="114">
        <f t="shared" si="0"/>
        <v>1.0011589999999999</v>
      </c>
      <c r="E32" s="104">
        <f t="shared" si="1"/>
        <v>1.106475421942962</v>
      </c>
      <c r="F32" s="115"/>
      <c r="G32" s="115"/>
      <c r="H32" s="29"/>
      <c r="I32" s="29"/>
      <c r="J32" s="29"/>
      <c r="K32" s="29"/>
      <c r="L32" s="29"/>
    </row>
    <row r="33" spans="1:12" s="27" customFormat="1" ht="15.75" x14ac:dyDescent="0.25">
      <c r="A33" s="104">
        <v>29</v>
      </c>
      <c r="B33" s="110">
        <v>44317</v>
      </c>
      <c r="C33" s="117">
        <v>0.1159</v>
      </c>
      <c r="D33" s="114">
        <f t="shared" ref="D33:D53" si="2">C33/100+1</f>
        <v>1.0011589999999999</v>
      </c>
      <c r="E33" s="104">
        <f t="shared" si="1"/>
        <v>1.1051945015157054</v>
      </c>
      <c r="F33" s="115"/>
      <c r="G33" s="115"/>
      <c r="H33" s="29"/>
      <c r="I33" s="29"/>
      <c r="J33" s="29"/>
      <c r="K33" s="29"/>
      <c r="L33" s="29"/>
    </row>
    <row r="34" spans="1:12" s="27" customFormat="1" ht="15.75" x14ac:dyDescent="0.25">
      <c r="A34" s="104">
        <v>30</v>
      </c>
      <c r="B34" s="110">
        <v>44348</v>
      </c>
      <c r="C34" s="117">
        <v>0.2019</v>
      </c>
      <c r="D34" s="114">
        <f t="shared" si="2"/>
        <v>1.002019</v>
      </c>
      <c r="E34" s="104">
        <f t="shared" si="1"/>
        <v>1.1039150639565798</v>
      </c>
      <c r="F34" s="115"/>
      <c r="G34" s="115"/>
      <c r="H34" s="29"/>
      <c r="I34" s="29"/>
      <c r="J34" s="29"/>
      <c r="K34" s="29"/>
      <c r="L34" s="29"/>
    </row>
    <row r="35" spans="1:12" s="27" customFormat="1" ht="15.75" x14ac:dyDescent="0.25">
      <c r="A35" s="104">
        <v>31</v>
      </c>
      <c r="B35" s="110">
        <v>44378</v>
      </c>
      <c r="C35" s="117">
        <v>0.24460000000000001</v>
      </c>
      <c r="D35" s="114">
        <f t="shared" si="2"/>
        <v>1.0024459999999999</v>
      </c>
      <c r="E35" s="104">
        <f t="shared" ref="E35:E52" si="3">D35*E36</f>
        <v>1.1016907503316602</v>
      </c>
      <c r="F35" s="115"/>
      <c r="G35" s="115"/>
      <c r="H35" s="29"/>
      <c r="I35" s="29"/>
      <c r="J35" s="29"/>
      <c r="K35" s="29"/>
      <c r="L35" s="29"/>
    </row>
    <row r="36" spans="1:12" s="27" customFormat="1" ht="15.75" x14ac:dyDescent="0.25">
      <c r="A36" s="104">
        <v>32</v>
      </c>
      <c r="B36" s="110">
        <v>44409</v>
      </c>
      <c r="C36" s="117">
        <v>0.24460000000000001</v>
      </c>
      <c r="D36" s="114">
        <f t="shared" si="2"/>
        <v>1.0024459999999999</v>
      </c>
      <c r="E36" s="104">
        <f t="shared" si="3"/>
        <v>1.0990025899965288</v>
      </c>
      <c r="F36" s="115"/>
      <c r="G36" s="115"/>
      <c r="H36" s="29"/>
      <c r="I36" s="29"/>
      <c r="J36" s="29"/>
      <c r="K36" s="29"/>
      <c r="L36" s="29"/>
    </row>
    <row r="37" spans="1:12" s="27" customFormat="1" ht="15.75" x14ac:dyDescent="0.25">
      <c r="A37" s="104">
        <v>33</v>
      </c>
      <c r="B37" s="110">
        <v>44440</v>
      </c>
      <c r="C37" s="117">
        <v>0.30120000000000002</v>
      </c>
      <c r="D37" s="114">
        <f t="shared" si="2"/>
        <v>1.003012</v>
      </c>
      <c r="E37" s="104">
        <f t="shared" si="3"/>
        <v>1.0963209888577827</v>
      </c>
      <c r="F37" s="115"/>
      <c r="G37" s="115"/>
      <c r="H37" s="29"/>
      <c r="I37" s="29"/>
      <c r="J37" s="29"/>
      <c r="K37" s="29"/>
      <c r="L37" s="29"/>
    </row>
    <row r="38" spans="1:12" s="27" customFormat="1" ht="15.75" x14ac:dyDescent="0.25">
      <c r="A38" s="104">
        <v>34</v>
      </c>
      <c r="B38" s="110">
        <v>44470</v>
      </c>
      <c r="C38" s="117">
        <v>0.35749999999999998</v>
      </c>
      <c r="D38" s="114">
        <f t="shared" si="2"/>
        <v>1.0035750000000001</v>
      </c>
      <c r="E38" s="104">
        <f t="shared" si="3"/>
        <v>1.0930287861538872</v>
      </c>
      <c r="F38" s="115"/>
      <c r="G38" s="115"/>
      <c r="H38" s="29"/>
      <c r="I38" s="29"/>
      <c r="J38" s="29"/>
      <c r="K38" s="29"/>
      <c r="L38" s="29"/>
    </row>
    <row r="39" spans="1:12" s="27" customFormat="1" ht="15.75" x14ac:dyDescent="0.25">
      <c r="A39" s="104">
        <v>35</v>
      </c>
      <c r="B39" s="110">
        <v>44501</v>
      </c>
      <c r="C39" s="117">
        <v>0.44119999999999998</v>
      </c>
      <c r="D39" s="114">
        <f t="shared" si="2"/>
        <v>1.0044120000000001</v>
      </c>
      <c r="E39" s="104">
        <f t="shared" si="3"/>
        <v>1.0891351280710331</v>
      </c>
      <c r="F39" s="115"/>
      <c r="G39" s="115"/>
      <c r="H39" s="29"/>
      <c r="I39" s="29"/>
      <c r="J39" s="29"/>
      <c r="K39" s="29"/>
      <c r="L39" s="29"/>
    </row>
    <row r="40" spans="1:12" s="27" customFormat="1" ht="15.75" x14ac:dyDescent="0.25">
      <c r="A40" s="104">
        <v>36</v>
      </c>
      <c r="B40" s="110">
        <v>44531</v>
      </c>
      <c r="C40" s="117">
        <v>0.49020000000000002</v>
      </c>
      <c r="D40" s="114">
        <f t="shared" si="2"/>
        <v>1.004902</v>
      </c>
      <c r="E40" s="104">
        <f t="shared" si="3"/>
        <v>1.0843509715844026</v>
      </c>
      <c r="F40" s="115"/>
      <c r="G40" s="115"/>
      <c r="H40" s="29"/>
      <c r="I40" s="29"/>
      <c r="J40" s="29"/>
      <c r="K40" s="29"/>
      <c r="L40" s="29"/>
    </row>
    <row r="41" spans="1:12" s="27" customFormat="1" ht="15.75" x14ac:dyDescent="0.25">
      <c r="A41" s="104">
        <v>37</v>
      </c>
      <c r="B41" s="110">
        <v>44562</v>
      </c>
      <c r="C41" s="111">
        <v>0.56079999999999997</v>
      </c>
      <c r="D41" s="112">
        <f t="shared" si="2"/>
        <v>1.0056080000000001</v>
      </c>
      <c r="E41" s="104">
        <f t="shared" si="3"/>
        <v>1.079061412540131</v>
      </c>
      <c r="F41" s="115"/>
      <c r="G41" s="115"/>
      <c r="H41" s="29"/>
      <c r="I41" s="29"/>
      <c r="J41" s="29"/>
      <c r="K41" s="29"/>
      <c r="L41" s="29"/>
    </row>
    <row r="42" spans="1:12" s="27" customFormat="1" ht="15.75" x14ac:dyDescent="0.25">
      <c r="A42" s="104">
        <v>38</v>
      </c>
      <c r="B42" s="110">
        <v>44593</v>
      </c>
      <c r="C42" s="117">
        <v>0.5</v>
      </c>
      <c r="D42" s="114">
        <f t="shared" si="2"/>
        <v>1.0049999999999999</v>
      </c>
      <c r="E42" s="104">
        <f t="shared" si="3"/>
        <v>1.0730437830050388</v>
      </c>
      <c r="F42" s="115"/>
      <c r="G42" s="115"/>
      <c r="H42" s="29"/>
      <c r="I42" s="29"/>
      <c r="J42" s="29"/>
      <c r="K42" s="29"/>
      <c r="L42" s="29"/>
    </row>
    <row r="43" spans="1:12" s="27" customFormat="1" ht="15.75" x14ac:dyDescent="0.25">
      <c r="A43" s="104">
        <v>39</v>
      </c>
      <c r="B43" s="110">
        <v>44621</v>
      </c>
      <c r="C43" s="117">
        <v>0.59760000000000002</v>
      </c>
      <c r="D43" s="114">
        <f t="shared" si="2"/>
        <v>1.005976</v>
      </c>
      <c r="E43" s="104">
        <f t="shared" si="3"/>
        <v>1.0677052567214318</v>
      </c>
      <c r="F43" s="115"/>
      <c r="G43" s="115"/>
      <c r="H43" s="29"/>
      <c r="I43" s="29"/>
      <c r="J43" s="29"/>
      <c r="K43" s="29"/>
      <c r="L43" s="29"/>
    </row>
    <row r="44" spans="1:12" s="27" customFormat="1" ht="15.75" x14ac:dyDescent="0.25">
      <c r="A44" s="104">
        <v>40</v>
      </c>
      <c r="B44" s="110">
        <v>44652</v>
      </c>
      <c r="C44" s="117">
        <v>0.55579999999999996</v>
      </c>
      <c r="D44" s="114">
        <f t="shared" si="2"/>
        <v>1.005558</v>
      </c>
      <c r="E44" s="104">
        <f t="shared" si="3"/>
        <v>1.0613625540981413</v>
      </c>
      <c r="F44" s="115"/>
      <c r="G44" s="115"/>
      <c r="H44" s="29"/>
      <c r="I44" s="29"/>
      <c r="J44" s="29"/>
      <c r="K44" s="29"/>
      <c r="L44" s="29"/>
    </row>
    <row r="45" spans="1:12" s="27" customFormat="1" ht="15.75" x14ac:dyDescent="0.25">
      <c r="A45" s="104">
        <v>41</v>
      </c>
      <c r="B45" s="110">
        <v>44682</v>
      </c>
      <c r="C45" s="117">
        <v>0.66710000000000003</v>
      </c>
      <c r="D45" s="114">
        <f t="shared" si="2"/>
        <v>1.0066710000000001</v>
      </c>
      <c r="E45" s="104">
        <f t="shared" si="3"/>
        <v>1.0554961067368978</v>
      </c>
      <c r="F45" s="115"/>
      <c r="G45" s="115"/>
      <c r="H45" s="29"/>
      <c r="I45" s="29"/>
      <c r="J45" s="29"/>
      <c r="K45" s="29"/>
      <c r="L45" s="29"/>
    </row>
    <row r="46" spans="1:12" s="27" customFormat="1" ht="15.75" x14ac:dyDescent="0.25">
      <c r="A46" s="104">
        <v>42</v>
      </c>
      <c r="B46" s="110">
        <v>44713</v>
      </c>
      <c r="C46" s="117">
        <v>0.64910000000000001</v>
      </c>
      <c r="D46" s="114">
        <f t="shared" si="2"/>
        <v>1.006491</v>
      </c>
      <c r="E46" s="104">
        <f t="shared" si="3"/>
        <v>1.0485015528776509</v>
      </c>
      <c r="F46" s="115"/>
      <c r="G46" s="115"/>
      <c r="H46" s="29"/>
      <c r="I46" s="29"/>
      <c r="J46" s="29"/>
      <c r="K46" s="29"/>
      <c r="L46" s="29"/>
    </row>
    <row r="47" spans="1:12" s="27" customFormat="1" ht="15.75" x14ac:dyDescent="0.25">
      <c r="A47" s="104">
        <v>43</v>
      </c>
      <c r="B47" s="110">
        <v>44743</v>
      </c>
      <c r="C47" s="117">
        <v>0.66390000000000005</v>
      </c>
      <c r="D47" s="114">
        <f t="shared" si="2"/>
        <v>1.0066390000000001</v>
      </c>
      <c r="E47" s="104">
        <f t="shared" si="3"/>
        <v>1.0417396209977545</v>
      </c>
      <c r="F47" s="115"/>
      <c r="G47" s="115"/>
      <c r="H47" s="29"/>
      <c r="I47" s="29"/>
      <c r="J47" s="29"/>
      <c r="K47" s="29"/>
      <c r="L47" s="29"/>
    </row>
    <row r="48" spans="1:12" s="27" customFormat="1" ht="15.75" x14ac:dyDescent="0.25">
      <c r="A48" s="104">
        <v>44</v>
      </c>
      <c r="B48" s="110">
        <v>44774</v>
      </c>
      <c r="C48" s="117">
        <v>0.74209999999999998</v>
      </c>
      <c r="D48" s="114">
        <f t="shared" si="2"/>
        <v>1.0074209999999999</v>
      </c>
      <c r="E48" s="104">
        <f t="shared" si="3"/>
        <v>1.0348691248776916</v>
      </c>
      <c r="F48" s="104"/>
      <c r="G48" s="104"/>
    </row>
    <row r="49" spans="1:7" s="27" customFormat="1" ht="15.75" x14ac:dyDescent="0.25">
      <c r="A49" s="104">
        <v>45</v>
      </c>
      <c r="B49" s="110">
        <v>44805</v>
      </c>
      <c r="C49" s="117">
        <v>0.68140000000000001</v>
      </c>
      <c r="D49" s="114">
        <f t="shared" si="2"/>
        <v>1.0068140000000001</v>
      </c>
      <c r="E49" s="104">
        <f t="shared" si="3"/>
        <v>1.0272459328103063</v>
      </c>
      <c r="F49" s="104"/>
      <c r="G49" s="104"/>
    </row>
    <row r="50" spans="1:7" s="27" customFormat="1" ht="15.75" x14ac:dyDescent="0.25">
      <c r="A50" s="104">
        <v>46</v>
      </c>
      <c r="B50" s="110">
        <v>44835</v>
      </c>
      <c r="C50" s="117">
        <v>0.65610000000000002</v>
      </c>
      <c r="D50" s="114">
        <f t="shared" si="2"/>
        <v>1.006561</v>
      </c>
      <c r="E50" s="104">
        <f t="shared" si="3"/>
        <v>1.020293651866488</v>
      </c>
      <c r="F50" s="104"/>
      <c r="G50" s="104"/>
    </row>
    <row r="51" spans="1:7" s="27" customFormat="1" ht="15.75" x14ac:dyDescent="0.25">
      <c r="A51" s="104">
        <v>47</v>
      </c>
      <c r="B51" s="110">
        <v>44866</v>
      </c>
      <c r="C51" s="117">
        <v>0.65149999999999997</v>
      </c>
      <c r="D51" s="114">
        <f t="shared" si="2"/>
        <v>1.006515</v>
      </c>
      <c r="E51" s="104">
        <f t="shared" si="3"/>
        <v>1.01364313923</v>
      </c>
      <c r="F51" s="104"/>
      <c r="G51" s="104"/>
    </row>
    <row r="52" spans="1:7" s="27" customFormat="1" ht="15.75" x14ac:dyDescent="0.25">
      <c r="A52" s="104">
        <v>48</v>
      </c>
      <c r="B52" s="110">
        <v>44896</v>
      </c>
      <c r="C52" s="117">
        <v>0.70820000000000005</v>
      </c>
      <c r="D52" s="114">
        <f t="shared" si="2"/>
        <v>1.007082</v>
      </c>
      <c r="E52" s="104">
        <f t="shared" si="3"/>
        <v>1.007082</v>
      </c>
      <c r="F52" s="104"/>
      <c r="G52" s="104"/>
    </row>
    <row r="53" spans="1:7" s="27" customFormat="1" ht="15.75" x14ac:dyDescent="0.25">
      <c r="A53" s="104">
        <v>49</v>
      </c>
      <c r="B53" s="110">
        <v>44927</v>
      </c>
      <c r="C53" s="111">
        <v>0</v>
      </c>
      <c r="D53" s="111">
        <f t="shared" si="2"/>
        <v>1</v>
      </c>
      <c r="E53" s="119">
        <f>D53</f>
        <v>1</v>
      </c>
      <c r="F53" s="104"/>
      <c r="G53" s="104"/>
    </row>
    <row r="54" spans="1:7" s="27" customFormat="1" x14ac:dyDescent="0.25">
      <c r="A54" s="104">
        <v>50</v>
      </c>
      <c r="B54" s="110">
        <v>44958</v>
      </c>
      <c r="C54" s="104"/>
      <c r="D54" s="104"/>
      <c r="E54" s="104"/>
      <c r="F54" s="104"/>
      <c r="G54" s="104"/>
    </row>
    <row r="55" spans="1:7" s="27" customFormat="1" x14ac:dyDescent="0.25">
      <c r="A55" s="104">
        <v>51</v>
      </c>
      <c r="B55" s="110">
        <v>44986</v>
      </c>
      <c r="C55" s="104"/>
      <c r="D55" s="104"/>
      <c r="E55" s="104"/>
      <c r="F55" s="104"/>
      <c r="G55" s="104"/>
    </row>
    <row r="56" spans="1:7" s="27" customFormat="1" x14ac:dyDescent="0.25">
      <c r="A56" s="104">
        <v>52</v>
      </c>
      <c r="B56" s="110">
        <v>45017</v>
      </c>
      <c r="C56" s="104"/>
      <c r="D56" s="104"/>
      <c r="E56" s="104"/>
      <c r="F56" s="104"/>
      <c r="G56" s="104"/>
    </row>
    <row r="57" spans="1:7" s="27" customFormat="1" x14ac:dyDescent="0.25">
      <c r="A57" s="104">
        <v>53</v>
      </c>
      <c r="B57" s="110">
        <v>45047</v>
      </c>
      <c r="C57" s="104"/>
      <c r="D57" s="104"/>
      <c r="E57" s="104"/>
      <c r="F57" s="104"/>
      <c r="G57" s="104"/>
    </row>
    <row r="58" spans="1:7" s="27" customFormat="1" x14ac:dyDescent="0.25">
      <c r="A58" s="104">
        <v>54</v>
      </c>
      <c r="B58" s="110">
        <v>45078</v>
      </c>
      <c r="C58" s="104"/>
      <c r="D58" s="104"/>
      <c r="E58" s="104"/>
      <c r="F58" s="104"/>
      <c r="G58" s="104"/>
    </row>
    <row r="59" spans="1:7" s="27" customFormat="1" x14ac:dyDescent="0.25">
      <c r="A59" s="104">
        <v>55</v>
      </c>
      <c r="B59" s="110">
        <v>45108</v>
      </c>
      <c r="C59" s="104"/>
      <c r="D59" s="104"/>
      <c r="E59" s="104"/>
      <c r="F59" s="104"/>
      <c r="G59" s="104"/>
    </row>
    <row r="60" spans="1:7" s="27" customFormat="1" x14ac:dyDescent="0.25">
      <c r="A60" s="104">
        <v>56</v>
      </c>
      <c r="B60" s="110">
        <v>45139</v>
      </c>
      <c r="C60" s="104"/>
      <c r="D60" s="104"/>
      <c r="E60" s="104"/>
      <c r="F60" s="104"/>
      <c r="G60" s="104"/>
    </row>
    <row r="61" spans="1:7" s="49" customFormat="1" x14ac:dyDescent="0.25">
      <c r="A61" s="104">
        <v>57</v>
      </c>
      <c r="B61" s="110">
        <v>45170</v>
      </c>
      <c r="C61" s="116"/>
      <c r="D61" s="116"/>
      <c r="E61" s="116"/>
      <c r="F61" s="116"/>
      <c r="G61" s="116"/>
    </row>
    <row r="62" spans="1:7" s="49" customFormat="1" ht="29.1" customHeight="1" x14ac:dyDescent="0.25">
      <c r="A62" s="104">
        <v>58</v>
      </c>
      <c r="B62" s="110">
        <v>45200</v>
      </c>
      <c r="C62" s="116"/>
      <c r="D62" s="116"/>
      <c r="E62" s="116"/>
      <c r="F62" s="116"/>
      <c r="G62" s="116"/>
    </row>
    <row r="63" spans="1:7" s="49" customFormat="1" x14ac:dyDescent="0.25">
      <c r="A63" s="104">
        <v>59</v>
      </c>
      <c r="B63" s="110">
        <v>45231</v>
      </c>
      <c r="C63" s="116"/>
      <c r="D63" s="116"/>
      <c r="E63" s="116"/>
      <c r="F63" s="116"/>
      <c r="G63" s="116"/>
    </row>
    <row r="64" spans="1:7" s="49" customFormat="1" ht="19.5" customHeight="1" x14ac:dyDescent="0.25">
      <c r="A64" s="104">
        <v>60</v>
      </c>
      <c r="B64" s="110">
        <v>45261</v>
      </c>
    </row>
    <row r="65" s="49" customFormat="1" ht="15.75" customHeight="1" x14ac:dyDescent="0.25"/>
    <row r="66" s="49" customFormat="1" ht="15.75" customHeight="1" x14ac:dyDescent="0.25"/>
    <row r="67" s="49" customFormat="1" ht="15.75" customHeight="1" x14ac:dyDescent="0.25"/>
    <row r="68" s="49" customFormat="1" ht="15.75" customHeight="1" x14ac:dyDescent="0.25"/>
    <row r="69" s="49" customFormat="1" ht="15.75" customHeight="1" x14ac:dyDescent="0.25"/>
    <row r="70" s="49" customFormat="1" ht="15.75" customHeight="1" x14ac:dyDescent="0.25"/>
    <row r="71" s="49" customFormat="1" ht="15.75" customHeight="1" x14ac:dyDescent="0.25"/>
    <row r="72" s="49" customFormat="1" x14ac:dyDescent="0.25"/>
    <row r="73" s="49" customFormat="1" x14ac:dyDescent="0.25"/>
    <row r="74" s="49" customFormat="1" x14ac:dyDescent="0.25"/>
    <row r="75" s="49" customFormat="1" x14ac:dyDescent="0.25"/>
    <row r="76" s="49" customFormat="1" x14ac:dyDescent="0.25"/>
    <row r="77" s="49" customFormat="1" x14ac:dyDescent="0.25"/>
    <row r="78" s="49" customFormat="1" x14ac:dyDescent="0.25"/>
    <row r="79" s="49" customFormat="1" x14ac:dyDescent="0.25"/>
    <row r="80" s="49" customFormat="1" x14ac:dyDescent="0.25"/>
  </sheetData>
  <mergeCells count="1">
    <mergeCell ref="A3:E3"/>
  </mergeCells>
  <hyperlinks>
    <hyperlink ref="B1" r:id="rId1" xr:uid="{A44D5EC9-AAD1-49EF-A993-BF689D3505B7}"/>
  </hyperlinks>
  <pageMargins left="0.78749999999999998" right="0.78749999999999998" top="1.05277777777778" bottom="1.05277777777778" header="0.78749999999999998" footer="0.78749999999999998"/>
  <pageSetup paperSize="9" orientation="portrait" horizontalDpi="300" verticalDpi="300" r:id="rId2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6"/>
  <sheetViews>
    <sheetView topLeftCell="A79" zoomScale="115" zoomScaleNormal="115" workbookViewId="0">
      <selection activeCell="G88" sqref="G88"/>
    </sheetView>
  </sheetViews>
  <sheetFormatPr defaultColWidth="11.5703125" defaultRowHeight="15" x14ac:dyDescent="0.25"/>
  <cols>
    <col min="1" max="1" width="6.42578125" bestFit="1" customWidth="1"/>
    <col min="2" max="2" width="13.28515625" customWidth="1"/>
    <col min="3" max="3" width="16.42578125" customWidth="1"/>
    <col min="4" max="4" width="16.140625" customWidth="1"/>
    <col min="5" max="5" width="21.5703125" customWidth="1"/>
    <col min="14" max="14" width="16" customWidth="1"/>
  </cols>
  <sheetData>
    <row r="1" spans="1:14" x14ac:dyDescent="0.25">
      <c r="A1" s="26" t="s">
        <v>14</v>
      </c>
      <c r="B1" s="47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4" s="27" customFormat="1" x14ac:dyDescent="0.25"/>
    <row r="3" spans="1:14" s="27" customFormat="1" ht="20.25" x14ac:dyDescent="0.3">
      <c r="A3" s="101" t="s">
        <v>23</v>
      </c>
      <c r="B3" s="101"/>
      <c r="C3" s="101"/>
      <c r="D3" s="101"/>
      <c r="E3" s="101"/>
      <c r="F3" s="38"/>
      <c r="G3" s="36"/>
      <c r="H3" s="36"/>
      <c r="I3" s="36"/>
      <c r="J3" s="36"/>
      <c r="K3" s="36"/>
      <c r="L3" s="36"/>
      <c r="M3" s="36"/>
      <c r="N3" s="31"/>
    </row>
    <row r="4" spans="1:14" s="27" customFormat="1" ht="20.25" x14ac:dyDescent="0.3">
      <c r="A4" s="39" t="s">
        <v>0</v>
      </c>
      <c r="B4" s="39" t="s">
        <v>1</v>
      </c>
      <c r="C4" s="39" t="s">
        <v>20</v>
      </c>
      <c r="D4" s="39" t="s">
        <v>21</v>
      </c>
      <c r="E4" s="39" t="s">
        <v>22</v>
      </c>
      <c r="F4" s="37"/>
      <c r="G4" s="37"/>
      <c r="H4" s="34"/>
      <c r="I4" s="34"/>
      <c r="J4" s="34"/>
      <c r="K4" s="34"/>
      <c r="L4" s="34"/>
      <c r="M4" s="34"/>
      <c r="N4" s="31"/>
    </row>
    <row r="5" spans="1:14" s="27" customFormat="1" ht="15.75" x14ac:dyDescent="0.25">
      <c r="A5" s="43">
        <v>1</v>
      </c>
      <c r="B5" s="44">
        <v>42370</v>
      </c>
      <c r="C5" s="45">
        <v>0.63270000000000004</v>
      </c>
      <c r="D5" s="46">
        <f t="shared" ref="D5:D16" si="0">C5/100+1</f>
        <v>1.006327</v>
      </c>
      <c r="E5" s="43">
        <f>D5*D6*D7*D8*D9*D10*D11*D12*D13*D14*D15*D16*D17*D18*D19*D20*D21*D22*D23*D24*D25*D26*D27*D28*D29*D30*D31*D32*D33*D34*D35*D36*D37*D38*D39*D40*D41*D42*D43*D44*D45*D46*D47*D48*D49*D50*D51*D52*D53*D54*D55*D56*D57*D58*D59*D60*D61*D62*D63*D64*D65*D66*D67*D68*D69*D70*D71*D72*D73*D74*D75*D76*D77*D78*D79*D80*D81*D82*D83*D84*D85*D86*D87*D88*D89</f>
        <v>1.4279898333299605</v>
      </c>
    </row>
    <row r="6" spans="1:14" s="27" customFormat="1" ht="15.75" x14ac:dyDescent="0.25">
      <c r="A6" s="27">
        <v>2</v>
      </c>
      <c r="B6" s="30">
        <v>42401</v>
      </c>
      <c r="C6" s="40">
        <v>0.59619999999999995</v>
      </c>
      <c r="D6" s="42">
        <f t="shared" si="0"/>
        <v>1.005962</v>
      </c>
      <c r="E6" s="48">
        <f>D6*D7*D8*D9*D10*D11*D12*D13*D14*D15*D16*D17*D18*D19*D20*D21*D22*D23*D24*D25*D26*D27*D28*D29*D30*D31*D32*D33*D34*D35*D36*D37*D38*D39*D40*D41*D42*D43*D44*D45*D46*D47*D48*D49*D50*D51*D52*D53*D54*D55*D56*D57*D58*D59*D60*D61*D62*D63*D64*D65*D66*D67*D68*D69*D70*D71*D72*D73*D74*D75*D76*D77*D78*D79*D80*D81*D82*D83*D84*D85*D86*D87*D88*D89</f>
        <v>1.419011746012939</v>
      </c>
    </row>
    <row r="7" spans="1:14" s="27" customFormat="1" ht="15.75" x14ac:dyDescent="0.25">
      <c r="A7" s="27">
        <v>3</v>
      </c>
      <c r="B7" s="30">
        <v>42430</v>
      </c>
      <c r="C7" s="40">
        <v>0.71789999999999998</v>
      </c>
      <c r="D7" s="42">
        <f t="shared" si="0"/>
        <v>1.007179</v>
      </c>
      <c r="E7" s="48">
        <f>D7*D8*D9*D10*D11*D12*D13*D14*D15*D16*D17*D18*D19*D20*D21*D22*D23*D24*D25*D26*D27*D28*D29*D30*D31*D32*D33*D34*D35*D36*D37*D38*D39*D40*D41*D42*D43*D44*D45*D46*D47*D48*D49*D50*D51*D52*D53*D54*D55*D56*D57*D58*D59*D60*D61*D62*D63*D64*D65*D66*D67*D68*D69*D70*D71*D72*D73*D74*D75*D76*D77*D78*D79*D80*D81*D82*D83*D84*D85*D86*D87*D88*D89</f>
        <v>1.4106017384483092</v>
      </c>
    </row>
    <row r="8" spans="1:14" s="27" customFormat="1" ht="15.75" x14ac:dyDescent="0.25">
      <c r="A8" s="27">
        <v>4</v>
      </c>
      <c r="B8" s="30">
        <v>42461</v>
      </c>
      <c r="C8" s="40">
        <v>0.63109999999999999</v>
      </c>
      <c r="D8" s="42">
        <f t="shared" si="0"/>
        <v>1.006311</v>
      </c>
      <c r="E8" s="48">
        <f>D8*D9*D10*D11*D12*D13*D14*D15*D16*D17*D18*D19*D20*D21*D22*D23*D24*D25*D26*D27*D28*D29*D30*D31*D32*D33*D34*D35*D36*D37*D38*D39*D40*D41*D42*D43*D44*D45*D46*D47*D48*D49*D50*D51*D52*D53*D54*D55*D56*D57*D58*D59*D60*D61*D62*D63*D64*D65*D66*D67*D68*D69*D70*D71*D72*D73*D74*D75*D76*D77*D78*D79*D80*D81*D82*D83*D84*D85*D86*D87*D88*D89</f>
        <v>1.4005472100275218</v>
      </c>
    </row>
    <row r="9" spans="1:14" s="27" customFormat="1" ht="15.75" x14ac:dyDescent="0.25">
      <c r="A9" s="27">
        <v>5</v>
      </c>
      <c r="B9" s="30">
        <v>42491</v>
      </c>
      <c r="C9" s="40">
        <v>0.65410000000000001</v>
      </c>
      <c r="D9" s="42">
        <f t="shared" si="0"/>
        <v>1.0065409999999999</v>
      </c>
      <c r="E9" s="48">
        <f>D9*D10*D11*D12*D13*D14*D15*D16*D17*D18*D19*D20*D21*D22*D23*D24*D25*D26*D27*D28*D29*D30*D31*D32*D33*D34*D35*D36*D37*D38*D39*D40*D41*D42*D43*D44*D45*D46*D47*D48*D49*D50*D51*D52*D53*D54*D55*D56*D57*D58*D59*D60*D61*D62*D63*D64*D65*D66*D67*D68*D69*D70*D71*D72*D73*D74*D75*D76*D77*D78*D79*D80*D81*D82*D83*D84*D85*D86*D87*D88*D89</f>
        <v>1.3917637887566781</v>
      </c>
    </row>
    <row r="10" spans="1:14" s="27" customFormat="1" ht="15.75" x14ac:dyDescent="0.25">
      <c r="A10" s="27">
        <v>6</v>
      </c>
      <c r="B10" s="30">
        <v>42522</v>
      </c>
      <c r="C10" s="40">
        <v>0.70530000000000004</v>
      </c>
      <c r="D10" s="42">
        <f t="shared" si="0"/>
        <v>1.007053</v>
      </c>
      <c r="E10" s="48">
        <f>D10*D11*D12*D13*D14*D15*D16*D17*D18*D19*D20*D21*D22*D23*D24*D25*D26*D27*D28*D29*D30*D31*D32*D33*D34*D35*D36*D37*D38*D39*D40*D41*D42*D43*D44*D45*D46*D47*D48*D49*D50*D51*D52*D53*D54*D55*D56*D57*D58*D59*D60*D61*D62*D63*D64*D65*D66*D67*D68*D69*D70*D71*D72*D73*D74*D75*D76*D77*D78*D79*D80*D81*D82*D83*D84*D85*D86*D87*D88*D89</f>
        <v>1.3827194210237614</v>
      </c>
    </row>
    <row r="11" spans="1:14" s="27" customFormat="1" ht="15.75" x14ac:dyDescent="0.25">
      <c r="A11" s="27">
        <v>7</v>
      </c>
      <c r="B11" s="30">
        <v>42552</v>
      </c>
      <c r="C11" s="40">
        <v>0.66290000000000004</v>
      </c>
      <c r="D11" s="42">
        <f t="shared" si="0"/>
        <v>1.006629</v>
      </c>
      <c r="E11" s="48">
        <f>D11*D12*D13*D14*D15*D16*D17*D18*D19*D20*D21*D22*D23*D24*D25*D26*D27*D28*D29*D30*D31*D32*D33*D34*D35*D36*D37*D38*D39*D40*D41*D42*D43*D44*D45*D46*D47*D48*D49*D50*D51*D52*D53*D54*D55*D56*D57*D58*D59*D60*D61*D62*D63*D64*D65*D66*D67*D68*D69*D70*D71*D72*D73*D74*D75*D76*D77*D78*D79*D80*D81*D82*D83*D84*D85*D86*D87*D88*D89</f>
        <v>1.3730354023311206</v>
      </c>
    </row>
    <row r="12" spans="1:14" s="27" customFormat="1" ht="15.75" x14ac:dyDescent="0.25">
      <c r="A12" s="27">
        <v>8</v>
      </c>
      <c r="B12" s="30">
        <v>42583</v>
      </c>
      <c r="C12" s="40">
        <v>0.75580000000000003</v>
      </c>
      <c r="D12" s="42">
        <f t="shared" si="0"/>
        <v>1.007558</v>
      </c>
      <c r="E12" s="48">
        <f>D12*D13*D14*D15*D16*D17*D18*D19*D20*D21*D22*D23*D24*D25*D26*D27*D28*D29*D30*D31*D32*D33*D34*D35*D36*D37*D38*D39*D40*D41*D42*D43*D44*D45*D46*D47*D48*D49*D50*D51*D52*D53*D54*D55*D56*D57*D58*D59*D60*D61*D62*D63*D64*D65*D66*D67*D68*D69*D70*D71*D72*D73*D74*D75*D76*D77*D78*D79*D80*D81*D82*D83*D84*D85*D86*D87*D88*D89</f>
        <v>1.3639934894892956</v>
      </c>
    </row>
    <row r="13" spans="1:14" s="27" customFormat="1" ht="15.75" x14ac:dyDescent="0.25">
      <c r="A13" s="27">
        <v>9</v>
      </c>
      <c r="B13" s="30">
        <v>42614</v>
      </c>
      <c r="C13" s="40">
        <v>0.6583</v>
      </c>
      <c r="D13" s="42">
        <f t="shared" si="0"/>
        <v>1.006583</v>
      </c>
      <c r="E13" s="48">
        <f>D13*D14*D15*D16*D17*D18*D19*D20*D21*D22*D23*D24*D25*D26*D27*D28*D29*D30*D31*D32*D33*D34*D35*D36*D37*D38*D39*D40*D41*D42*D43*D44*D45*D46*D47*D48*D49*D50*D51*D52*D53*D54*D55*D56*D57*D58*D59*D60*D61*D62*D63*D64*D65*D66*D67*D68*D69*D70*D71*D72*D73*D74*D75*D76*D77*D78*D79*D80*D81*D82*D83*D84*D85*D86*D87*D88*D89</f>
        <v>1.3537617581214147</v>
      </c>
      <c r="F13" s="29"/>
      <c r="G13" s="29"/>
      <c r="H13" s="29"/>
      <c r="I13" s="29"/>
      <c r="J13" s="29"/>
      <c r="K13" s="29"/>
      <c r="L13" s="29"/>
      <c r="M13" s="29"/>
    </row>
    <row r="14" spans="1:14" s="27" customFormat="1" ht="15.75" x14ac:dyDescent="0.25">
      <c r="A14" s="27">
        <v>10</v>
      </c>
      <c r="B14" s="30">
        <v>42644</v>
      </c>
      <c r="C14" s="40">
        <v>0.66090000000000004</v>
      </c>
      <c r="D14" s="42">
        <f t="shared" si="0"/>
        <v>1.0066090000000001</v>
      </c>
      <c r="E14" s="48">
        <f>D14*D15*D16*D17*D18*D19*D20*D21*D22*D23*D24*D25*D26*D27*D28*D29*D30*D31*D32*D33*D34*D35*D36*D37*D38*D39*D40*D41*D42*D43*D44*D45*D46*D47*D48*D49*D50*D51*D52*D53*D54*D55*D56*D57*D58*D59*D60*D61*D62*D63*D64*D65*D66*D67*D68*D69*D70*D71*D72*D73*D74*D75*D76*D77*D78*D79*D80*D81*D82*D83*D84*D85*D86*D87*D88*D89</f>
        <v>1.3449082272613528</v>
      </c>
    </row>
    <row r="15" spans="1:14" s="27" customFormat="1" ht="15.75" x14ac:dyDescent="0.25">
      <c r="A15" s="27">
        <v>11</v>
      </c>
      <c r="B15" s="30">
        <v>42675</v>
      </c>
      <c r="C15" s="40">
        <v>0.64349999999999996</v>
      </c>
      <c r="D15" s="42">
        <f t="shared" si="0"/>
        <v>1.006435</v>
      </c>
      <c r="E15" s="48">
        <f>D15*D16*D17*D18*D19*D20*D21*D22*D23*D24*D25*D26*D27*D28*D29*D30*D31*D32*D33*D34*D35*D36*D37*D38*D39*D40*D41*D42*D43*D44*D45*D46*D47*D48*D49*D50*D51*D52*D53*D54*D55*D56*D57*D58*D59*D60*D61*D62*D63*D64*D65*D66*D67*D68*D69*D70*D71*D72*D73*D74*D75*D76*D77*D78*D79*D80*D81*D82*D83*D84*D85*D86*D87*D88*D89</f>
        <v>1.3360780871831588</v>
      </c>
    </row>
    <row r="16" spans="1:14" s="27" customFormat="1" ht="15.75" x14ac:dyDescent="0.25">
      <c r="A16" s="27">
        <v>12</v>
      </c>
      <c r="B16" s="30">
        <v>42705</v>
      </c>
      <c r="C16" s="40">
        <v>0.68579999999999997</v>
      </c>
      <c r="D16" s="42">
        <f t="shared" si="0"/>
        <v>1.006858</v>
      </c>
      <c r="E16" s="50">
        <f>D16*D17*D18*D19*D20*D21*D22*D23*D24*D25*D26*D27*D28*D29*D30*D31*D32*D33*D34*D35*D36*D37*D38*D39*D40*D41*D42*D43*D44*D45*D46*D47*D48*D49*D50*D51*D52*D53*D54*D55*D56*D57*D58*D59*D60*D61*D62*D63*D64*D65*D66*D67*D68*D69*D70*D71*D72*D73*D74*D75*D76*D77*D78*D79*D80*D81*D82*D83*D84*D85*D86*D87*D88*D89</f>
        <v>1.3275353969040808</v>
      </c>
    </row>
    <row r="17" spans="1:17" s="27" customFormat="1" ht="15.75" x14ac:dyDescent="0.25">
      <c r="A17" s="43">
        <v>13</v>
      </c>
      <c r="B17" s="44">
        <v>42736</v>
      </c>
      <c r="C17" s="45">
        <v>0.67090000000000005</v>
      </c>
      <c r="D17" s="46">
        <f t="shared" ref="D17:D80" si="1">C17/100+1</f>
        <v>1.0067090000000001</v>
      </c>
      <c r="E17" s="51">
        <f>D17*D18*D19*D20*D21*D22*D23*D24*D25*D26*D27*D28*D29*D30*D31*D32*D33*D34*D35*D36*D37*D38*D39*D40*D41*D42*D43*D44*D45*D46*D47*D48*D49*D50*D51*D52*D53*D54*D55*D56*D57*D58*D59*D60*D61*D62*D63*D64*D65*D66*D67*D68*D69*D70*D71*D72*D73*D74*D75*D76*D77*D78*D79*D80*D81*D82*D83*D84*D85*D86*D87*D88*D89</f>
        <v>1.3184931707391521</v>
      </c>
    </row>
    <row r="18" spans="1:17" s="27" customFormat="1" ht="15.75" x14ac:dyDescent="0.25">
      <c r="A18" s="27">
        <v>14</v>
      </c>
      <c r="B18" s="30">
        <v>42767</v>
      </c>
      <c r="C18" s="40">
        <v>0.53039999999999998</v>
      </c>
      <c r="D18" s="42">
        <f t="shared" si="1"/>
        <v>1.005304</v>
      </c>
      <c r="E18" s="48">
        <f>D18*D19*D20*D21*D22*D23*D24*D25*D26*D27*D28*D29*D30*D31*D32*D33*D34*D35*D36*D37*D38*D39*D40*D41*D42*D43*D44*D45*D46*D47*D48*D49*D50*D51*D52*D53*D54*D55*D56*D57*D58*D59*D60*D61*D62*D63*D64*D65*D66*D67*D68*D69*D70*D71*D72*D73*D74*D75*D76*D77*D78*D79*D80*D81*D82*D83*D84*D85*D86*D87*D88*D89</f>
        <v>1.3097063508314239</v>
      </c>
    </row>
    <row r="19" spans="1:17" s="27" customFormat="1" ht="15.75" x14ac:dyDescent="0.25">
      <c r="A19" s="27">
        <v>15</v>
      </c>
      <c r="B19" s="30">
        <v>42795</v>
      </c>
      <c r="C19" s="40">
        <v>0.65269999999999995</v>
      </c>
      <c r="D19" s="42">
        <f t="shared" si="1"/>
        <v>1.0065269999999999</v>
      </c>
      <c r="E19" s="50">
        <f>D19*D20*D21*D22*D23*D24*D25*D26*D27*D28*D29*D30*D31*D32*D33*D34*D35*D36*D37*D38*D39*D40*D41*D42*D43*D44*D45*D46*D47*D48*D49*D50*D51*D52*D53*D54*D55*D56*D57*D58*D59*D60*D61*D62*D63*D64*D65*D66*D67*D68*D69*D70*D71*D72*D73*D74*D75*D76*D77*D78*D79*D80*D81*D82*D83*D84*D85*D86*D87*D88*D89</f>
        <v>1.3027963191546275</v>
      </c>
    </row>
    <row r="20" spans="1:17" s="27" customFormat="1" ht="15.75" x14ac:dyDescent="0.25">
      <c r="A20" s="27">
        <v>16</v>
      </c>
      <c r="B20" s="30">
        <v>42826</v>
      </c>
      <c r="C20" s="40">
        <v>0.5</v>
      </c>
      <c r="D20" s="42">
        <f t="shared" si="1"/>
        <v>1.0049999999999999</v>
      </c>
      <c r="E20" s="48">
        <f>D20*D21*D22*D23*D24*D25*D26*D27*D28*D29*D30*D31*D32*D33*D34*D35*D36*D37*D38*D39*D40*D41*D42*D43*D44*D45*D46*D47*D48*D49*D50*D51*D52*D53*D54*D55*D56*D57*D58*D59*D60*D61*D62*D63*D64*D65*D66*D67*D68*D69*D70*D71*D72*D73*D74*D75*D76*D77*D78*D79*D80*D81*D82*D83*D84*D85*D86*D87*D88*D89</f>
        <v>1.2943481090468805</v>
      </c>
    </row>
    <row r="21" spans="1:17" s="27" customFormat="1" ht="15.75" x14ac:dyDescent="0.25">
      <c r="A21" s="27">
        <v>17</v>
      </c>
      <c r="B21" s="30">
        <v>42856</v>
      </c>
      <c r="C21" s="40">
        <v>0.57679999999999998</v>
      </c>
      <c r="D21" s="42">
        <f t="shared" si="1"/>
        <v>1.005768</v>
      </c>
      <c r="E21" s="50">
        <f>D21*D22*D23*D24*D25*D26*D27*D28*D29*D30*D31*D32*D33*D34*D35*D36*D37*D38*D39*D40*D41*D42*D43*D44*D45*D46*D47*D48*D49*D50*D51*D52*D53*D54*D55*D56*D57*D58*D59*D60*D61*D62*D63*D64*D65*D66*D67*D68*D69*D70*D71*D72*D73*D74*D75*D76*D77*D78*D79*D80*D81*D82*D83*D84*D85*D86*D87*D88*D89</f>
        <v>1.2879085662158001</v>
      </c>
    </row>
    <row r="22" spans="1:17" s="27" customFormat="1" ht="15.75" x14ac:dyDescent="0.25">
      <c r="A22" s="27">
        <v>18</v>
      </c>
      <c r="B22" s="30">
        <v>42887</v>
      </c>
      <c r="C22" s="40">
        <v>0.55389999999999995</v>
      </c>
      <c r="D22" s="42">
        <f t="shared" si="1"/>
        <v>1.005539</v>
      </c>
      <c r="E22" s="50">
        <f>D22*D23*D24*D25*D26*D27*D28*D29*D30*D31*D32*D33*D34*D35*D36*D37*D38*D39*D40*D41*D42*D43*D44*D45*D46*D47*D48*D49*D50*D51*D52*D53*D54*D55*D56*D57*D58*D59*D60*D61*D62*D63*D64*D65*D66*D67*D68*D69*D70*D71*D72*D73*D74*D75*D76*D77*D78*D79*D80*D81*D82*D83*D84*D85*D86*D87*D88*D89</f>
        <v>1.2805225123644817</v>
      </c>
      <c r="F22" s="29"/>
      <c r="G22" s="29"/>
      <c r="H22" s="29"/>
      <c r="I22" s="29"/>
      <c r="J22" s="29"/>
      <c r="K22" s="29"/>
      <c r="L22" s="29"/>
      <c r="M22" s="29"/>
    </row>
    <row r="23" spans="1:17" s="27" customFormat="1" ht="15.75" x14ac:dyDescent="0.25">
      <c r="A23" s="27">
        <v>19</v>
      </c>
      <c r="B23" s="30">
        <v>42917</v>
      </c>
      <c r="C23" s="40">
        <v>0.56259999999999999</v>
      </c>
      <c r="D23" s="42">
        <f t="shared" si="1"/>
        <v>1.0056259999999999</v>
      </c>
      <c r="E23" s="48">
        <f>D23*D24*D25*D26*D27*D28*D29*D30*D31*D32*D33*D34*D35*D36*D37*D38*D39*D40*D41*D42*D43*D44*D45*D46*D47*D48*D49*D50*D51*D52*D53*D54*D55*D56*D57*D58*D59*D60*D61*D62*D63*D64*D65*D66*D67*D68*D69*D70*D71*D72*D73*D74*D75*D76*D77*D78*D79*D80*D81*D82*D83*D84*D85*D86*D87*D88*D89</f>
        <v>1.2734687688538004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s="27" customFormat="1" ht="15.75" x14ac:dyDescent="0.25">
      <c r="A24" s="27">
        <v>20</v>
      </c>
      <c r="B24" s="30">
        <v>42948</v>
      </c>
      <c r="C24" s="40">
        <v>0.55120000000000002</v>
      </c>
      <c r="D24" s="42">
        <f t="shared" si="1"/>
        <v>1.005512</v>
      </c>
      <c r="E24" s="48">
        <f>D24*D25*D26*D27*D28*D29*D30*D31*D32*D33*D34*D35*D36*D37*D38*D39*D40*D41*D42*D43*D44*D45*D46*D47*D48*D49*D50*D51*D52*D53*D54*D55*D56*D57*D58*D59*D60*D61*D62*D63*D64*D65*D66*D67*D68*D69*D70*D71*D72*D73*D74*D75*D76*D77*D78*D79*D80*D81*D82*D83*D84*D85*D86*D87*D88*D89</f>
        <v>1.2663443157334844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7" customFormat="1" ht="20.25" customHeight="1" x14ac:dyDescent="0.25">
      <c r="A25" s="27">
        <v>21</v>
      </c>
      <c r="B25" s="30">
        <v>42979</v>
      </c>
      <c r="C25" s="40">
        <v>0.5</v>
      </c>
      <c r="D25" s="42">
        <f t="shared" si="1"/>
        <v>1.0049999999999999</v>
      </c>
      <c r="E25" s="48">
        <f>D25*D26*D27*D28*D29*D30*D31*D32*D33*D34*D35*D36*D37*D38*D39*D40*D41*D42*D43*D44*D45*D46*D47*D48*D49*D50*D51*D52*D53*D54*D55*D56*D57*D58*D59*D60*D61*D62*D63*D64*D65*D66*D67*D68*D69*D70*D71*D72*D73*D74*D75*D76*D77*D78*D79*D80*D81*D82*D83*D84*D85*D86*D87*D88*D89</f>
        <v>1.2594024892129425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1:17" s="27" customFormat="1" ht="15.75" x14ac:dyDescent="0.25">
      <c r="A26" s="27">
        <v>22</v>
      </c>
      <c r="B26" s="30">
        <v>43009</v>
      </c>
      <c r="C26" s="40">
        <v>0.46899999999999997</v>
      </c>
      <c r="D26" s="42">
        <f t="shared" si="1"/>
        <v>1.0046900000000001</v>
      </c>
      <c r="E26" s="48">
        <f>D26*D27*D28*D29*D30*D31*D32*D33*D34*D35*D36*D37*D38*D39*D40*D41*D42*D43*D44*D45*D46*D47*D48*D49*D50*D51*D52*D53*D54*D55*D56*D57*D58*D59*D60*D61*D62*D63*D64*D65*D66*D67*D68*D69*D70*D71*D72*D73*D74*D75*D76*D77*D78*D79*D80*D81*D82*D83*D84*D85*D86*D87*D88*D89</f>
        <v>1.2531368051870073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7" s="27" customFormat="1" ht="15.75" x14ac:dyDescent="0.25">
      <c r="A27" s="27">
        <v>23</v>
      </c>
      <c r="B27" s="30">
        <v>43040</v>
      </c>
      <c r="C27" s="40">
        <v>0.42730000000000001</v>
      </c>
      <c r="D27" s="42">
        <f t="shared" si="1"/>
        <v>1.004273</v>
      </c>
      <c r="E27" s="48">
        <f>D27*D28*D29*D30*D31*D32*D33*D34*D35*D36*D37*D38*D39*D40*D41*D42*D43*D44*D45*D46*D47*D48*D49*D50*D51*D52*D53*D54*D55*D56*D57*D58*D59*D60*D61*D62*D63*D64*D65*D66*D67*D68*D69*D70*D71*D72*D73*D74*D75*D76*D77*D78*D79*D80*D81*D82*D83*D84*D85*D86*D87*D88*D89</f>
        <v>1.2472870290209002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7" s="27" customFormat="1" ht="15.75" x14ac:dyDescent="0.25">
      <c r="A28" s="27">
        <v>24</v>
      </c>
      <c r="B28" s="30">
        <v>43070</v>
      </c>
      <c r="C28" s="40">
        <v>0.42730000000000001</v>
      </c>
      <c r="D28" s="42">
        <f t="shared" si="1"/>
        <v>1.004273</v>
      </c>
      <c r="E28" s="48">
        <f>D28*D29*D30*D31*D32*D33*D34*D35*D36*D37*D38*D39*D40*D41*D42*D43*D44*D45*D46*D47*D48*D49*D50*D51*D52*D53*D54*D55*D56*D57*D58*D59*D60*D61*D62*D63*D64*D65*D66*D67*D68*D69*D70*D71*D72*D73*D74*D75*D76*D77*D78*D79*D80*D81*D82*D83*D84*D85*D86*D87*D88*D89</f>
        <v>1.2419800482746219</v>
      </c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1:17" s="27" customFormat="1" ht="15.75" x14ac:dyDescent="0.25">
      <c r="A29" s="43">
        <v>25</v>
      </c>
      <c r="B29" s="44">
        <v>43101</v>
      </c>
      <c r="C29" s="45">
        <v>0.39939999999999998</v>
      </c>
      <c r="D29" s="46">
        <f t="shared" si="1"/>
        <v>1.0039940000000001</v>
      </c>
      <c r="E29" s="43">
        <f>D29*D30*D31*D32*D33*D34*D35*D36*D37*D38*D39*D40*D41*D42*D43*D44*D45*D46*D47*D48*D49*D50*D51*D52*D53*D54*D55*D56*D57*D58*D59*D60*D61*D62*D63*D64*D65*D66*D67*D68*D69*D70*D71*D72*D73*D74*D75*D76*D77*D78*D79*D80*D81*D82*D83*D84*D85*D86*D87*D88*D89</f>
        <v>1.2366956477716939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17" s="27" customFormat="1" ht="15.75" x14ac:dyDescent="0.25">
      <c r="A30" s="27">
        <v>26</v>
      </c>
      <c r="B30" s="30">
        <v>43132</v>
      </c>
      <c r="C30" s="40">
        <v>0.39939999999999998</v>
      </c>
      <c r="D30" s="42">
        <f t="shared" si="1"/>
        <v>1.0039940000000001</v>
      </c>
      <c r="E30" s="48">
        <f>D30*D31*D32*D33*D34*D35*D36*D37*D38*D39*D40*D41*D42*D43*D44*D45*D46*D47*D48*D49*D50*D51*D52*D53*D54*D55*D56*D57*D58*D59*D60*D61*D62*D63*D64*D65*D66*D67*D68*D69*D70*D71*D72*D73*D74*D75*D76*D77*D78*D79*D80*D81*D82*D83*D84*D85*D86*D87*D88*D89</f>
        <v>1.2317759346885471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7" s="27" customFormat="1" ht="15.75" x14ac:dyDescent="0.25">
      <c r="A31" s="27">
        <v>27</v>
      </c>
      <c r="B31" s="30">
        <v>43160</v>
      </c>
      <c r="C31" s="40">
        <v>0.38550000000000001</v>
      </c>
      <c r="D31" s="42">
        <f t="shared" si="1"/>
        <v>1.0038549999999999</v>
      </c>
      <c r="E31" s="50">
        <f>D31*D32*D33*D34*D35*D36*D37*D38*D39*D40*D41*D42*D43*D44*D45*D46*D47*D48*D49*D50*D51*D52*D53*D54*D55*D56*D57*D58*D59*D60*D61*D62*D63*D64*D65*D66*D67*D68*D69*D70*D71*D72*D73*D74*D75*D76*D77*D78*D79*D80*D81*D82*D83*D84*D85*D86*D87*D88*D89</f>
        <v>1.2268757927722154</v>
      </c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1:17" s="27" customFormat="1" ht="15.75" x14ac:dyDescent="0.25">
      <c r="A32" s="27">
        <v>28</v>
      </c>
      <c r="B32" s="30">
        <v>43191</v>
      </c>
      <c r="C32" s="40">
        <v>0.3715</v>
      </c>
      <c r="D32" s="42">
        <f t="shared" si="1"/>
        <v>1.0037149999999999</v>
      </c>
      <c r="E32" s="48">
        <f>D32*D33*D34*D35*D36*D37*D38*D39*D40*D41*D42*D43*D44*D45*D46*D47*D48*D49*D50*D51*D52*D53*D54*D55*D56*D57*D58*D59*D60*D61*D62*D63*D64*D65*D66*D67*D68*D69*D70*D71*D72*D73*D74*D75*D76*D77*D78*D79*D80*D81*D82*D83*D84*D85*D86*D87*D88*D89</f>
        <v>1.2221643492060272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1:17" s="27" customFormat="1" ht="15.75" x14ac:dyDescent="0.25">
      <c r="A33" s="27">
        <v>29</v>
      </c>
      <c r="B33" s="30">
        <v>43221</v>
      </c>
      <c r="C33" s="40">
        <v>0.3715</v>
      </c>
      <c r="D33" s="42">
        <f t="shared" si="1"/>
        <v>1.0037149999999999</v>
      </c>
      <c r="E33" s="50">
        <f>D33*D34*D35*D36*D37*D38*D39*D40*D41*D42*D43*D44*D45*D46*D47*D48*D49*D50*D51*D52*D53*D54*D55*D56*D57*D58*D59*D60*D61*D62*D63*D64*D65*D66*D67*D68*D69*D70*D71*D72*D73*D74*D75*D76*D77*D78*D79*D80*D81*D82*D83*D84*D85*D86*D87*D88*D89</f>
        <v>1.2176408135835632</v>
      </c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1:17" s="27" customFormat="1" ht="15.75" x14ac:dyDescent="0.25">
      <c r="A34" s="27">
        <v>30</v>
      </c>
      <c r="B34" s="30">
        <v>43252</v>
      </c>
      <c r="C34" s="40">
        <v>0.3715</v>
      </c>
      <c r="D34" s="42">
        <f t="shared" si="1"/>
        <v>1.0037149999999999</v>
      </c>
      <c r="E34" s="48">
        <f>D34*D35*D36*D37*D38*D39*D40*D41*D42*D43*D44*D45*D46*D47*D48*D49*D50*D51*D52*D53*D54*D55*D56*D57*D58*D59*D60*D61*D62*D63*D64*D65*D66*D67*D68*D69*D70*D71*D72*D73*D74*D75*D76*D77*D78*D79*D80*D81*D82*D83*D84*D85*D86*D87*D88*D89</f>
        <v>1.2131340206966745</v>
      </c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1:17" s="27" customFormat="1" ht="15.75" x14ac:dyDescent="0.25">
      <c r="A35" s="27">
        <v>31</v>
      </c>
      <c r="B35" s="30">
        <v>43282</v>
      </c>
      <c r="C35" s="40">
        <v>0.3715</v>
      </c>
      <c r="D35" s="42">
        <f t="shared" si="1"/>
        <v>1.0037149999999999</v>
      </c>
      <c r="E35" s="50">
        <f>D35*D36*D37*D38*D39*D40*D41*D42*D43*D44*D45*D46*D47*D48*D49*D50*D51*D52*D53*D54*D55*D56*D57*D58*D59*D60*D61*D62*D63*D64*D65*D66*D67*D68*D69*D70*D71*D72*D73*D74*D75*D76*D77*D78*D79*D80*D81*D82*D83*D84*D85*D86*D87*D88*D89</f>
        <v>1.2086439085763143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1:17" s="27" customFormat="1" ht="15.75" x14ac:dyDescent="0.25">
      <c r="A36" s="27">
        <v>32</v>
      </c>
      <c r="B36" s="30">
        <v>43313</v>
      </c>
      <c r="C36" s="40">
        <v>0.3715</v>
      </c>
      <c r="D36" s="42">
        <f t="shared" si="1"/>
        <v>1.0037149999999999</v>
      </c>
      <c r="E36" s="48">
        <f>D36*D37*D38*D39*D40*D41*D42*D43*D44*D45*D46*D47*D48*D49*D50*D51*D52*D53*D54*D55*D56*D57*D58*D59*D60*D61*D62*D63*D64*D65*D66*D67*D68*D69*D70*D71*D72*D73*D74*D75*D76*D77*D78*D79*D80*D81*D82*D83*D84*D85*D86*D87*D88*D89</f>
        <v>1.2041704154827961</v>
      </c>
      <c r="F36" s="29"/>
      <c r="G36" s="29"/>
      <c r="H36" s="29"/>
      <c r="I36" s="29"/>
      <c r="J36" s="29"/>
      <c r="K36" s="29"/>
      <c r="L36" s="29"/>
      <c r="M36" s="29"/>
    </row>
    <row r="37" spans="1:17" s="27" customFormat="1" ht="15.75" x14ac:dyDescent="0.25">
      <c r="A37" s="27">
        <v>33</v>
      </c>
      <c r="B37" s="30">
        <v>43344</v>
      </c>
      <c r="C37" s="40">
        <v>0.3715</v>
      </c>
      <c r="D37" s="42">
        <f t="shared" si="1"/>
        <v>1.0037149999999999</v>
      </c>
      <c r="E37" s="48">
        <f>D37*D38*D39*D40*D41*D42*D43*D44*D45*D46*D47*D48*D49*D50*D51*D52*D53*D54*D55*D56*D57*D58*D59*D60*D61*D62*D63*D64*D65*D66*D67*D68*D69*D70*D71*D72*D73*D74*D75*D76*D77*D78*D79*D80*D81*D82*D83*D84*D85*D86*D87*D88*D89</f>
        <v>1.1997134799049494</v>
      </c>
    </row>
    <row r="38" spans="1:17" s="27" customFormat="1" ht="15.75" x14ac:dyDescent="0.25">
      <c r="A38" s="27">
        <v>34</v>
      </c>
      <c r="B38" s="30">
        <v>43374</v>
      </c>
      <c r="C38" s="40">
        <v>0.3715</v>
      </c>
      <c r="D38" s="42">
        <f t="shared" si="1"/>
        <v>1.0037149999999999</v>
      </c>
      <c r="E38" s="48">
        <f>D38*D39*D40*D41*D42*D43*D44*D45*D46*D47*D48*D49*D50*D51*D52*D53*D54*D55*D56*D57*D58*D59*D60*D61*D62*D63*D64*D65*D66*D67*D68*D69*D70*D71*D72*D73*D74*D75*D76*D77*D78*D79*D80*D81*D82*D83*D84*D85*D86*D87*D88*D89</f>
        <v>1.1952730405592717</v>
      </c>
    </row>
    <row r="39" spans="1:17" s="27" customFormat="1" ht="15.75" x14ac:dyDescent="0.25">
      <c r="A39" s="27">
        <v>35</v>
      </c>
      <c r="B39" s="30">
        <v>43405</v>
      </c>
      <c r="C39" s="40">
        <v>0.3715</v>
      </c>
      <c r="D39" s="42">
        <f t="shared" si="1"/>
        <v>1.0037149999999999</v>
      </c>
      <c r="E39" s="48">
        <f>D39*D40*D41*D42*D43*D44*D45*D46*D47*D48*D49*D50*D51*D52*D53*D54*D55*D56*D57*D58*D59*D60*D61*D62*D63*D64*D65*D66*D67*D68*D69*D70*D71*D72*D73*D74*D75*D76*D77*D78*D79*D80*D81*D82*D83*D84*D85*D86*D87*D88*D89</f>
        <v>1.1908490363890869</v>
      </c>
    </row>
    <row r="40" spans="1:17" s="27" customFormat="1" ht="15.75" x14ac:dyDescent="0.25">
      <c r="A40" s="27">
        <v>36</v>
      </c>
      <c r="B40" s="30">
        <v>43435</v>
      </c>
      <c r="C40" s="40">
        <v>0.3715</v>
      </c>
      <c r="D40" s="42">
        <f t="shared" si="1"/>
        <v>1.0037149999999999</v>
      </c>
      <c r="E40" s="48">
        <f>D40*D41*D42*D43*D44*D45*D46*D47*D48*D49*D50*D51*D52*D53*D54*D55*D56*D57*D58*D59*D60*D61*D62*D63*D64*D65*D66*D67*D68*D69*D70*D71*D72*D73*D74*D75*D76*D77*D78*D79*D80*D81*D82*D83*D84*D85*D86*D87*D88*D89</f>
        <v>1.1864414065637017</v>
      </c>
    </row>
    <row r="41" spans="1:17" s="27" customFormat="1" ht="15.75" x14ac:dyDescent="0.25">
      <c r="A41" s="43">
        <v>37</v>
      </c>
      <c r="B41" s="44">
        <v>43466</v>
      </c>
      <c r="C41" s="45">
        <v>0.3715</v>
      </c>
      <c r="D41" s="46">
        <f t="shared" si="1"/>
        <v>1.0037149999999999</v>
      </c>
      <c r="E41" s="43">
        <f>D41*D42*D43*D44*D45*D46*D47*D48*D49*D50*D51*D52*D53*D54*D55*D56*D57*D58*D59*D60*D61*D62*D63*D64*D65*D66*D67*D68*D69*D70*D71*D72*D73*D74*D75*D76*D77*D78*D79*D80*D81*D82*D83*D84*D85*D86*D87*D88*D89</f>
        <v>1.1820500904775781</v>
      </c>
    </row>
    <row r="42" spans="1:17" s="27" customFormat="1" ht="15.75" x14ac:dyDescent="0.25">
      <c r="A42" s="27">
        <v>38</v>
      </c>
      <c r="B42" s="30">
        <v>43497</v>
      </c>
      <c r="C42" s="40">
        <v>0.3715</v>
      </c>
      <c r="D42" s="42">
        <f t="shared" si="1"/>
        <v>1.0037149999999999</v>
      </c>
      <c r="E42" s="48">
        <f>D42*D43*D44*D45*D46*D47*D48*D49*D50*D51*D52*D53*D54*D55*D56*D57*D58*D59*D60*D61*D62*D63*D64*D65*D66*D67*D68*D69*D70*D71*D72*D73*D74*D75*D76*D77*D78*D79*D80*D81*D82*D83*D84*D85*D86*D87*D88*D89</f>
        <v>1.1776750277494883</v>
      </c>
    </row>
    <row r="43" spans="1:17" s="27" customFormat="1" ht="15.75" x14ac:dyDescent="0.25">
      <c r="A43" s="27">
        <v>39</v>
      </c>
      <c r="B43" s="30">
        <v>43525</v>
      </c>
      <c r="C43" s="41">
        <v>0.3715</v>
      </c>
      <c r="D43" s="42">
        <f t="shared" si="1"/>
        <v>1.0037149999999999</v>
      </c>
      <c r="E43" s="48">
        <f>D43*D44*D45*D46*D47*D48*D49*D50*D51*D52*D53*D54*D55*D56*D57*D58*D59*D60*D61*D62*D63*D64*D65*D66*D67*D68*D69*D70*D71*D72*D73*D74*D75*D76*D77*D78*D79*D80*D81*D82*D83*D84*D85*D86*D87*D88*D89</f>
        <v>1.1733161582216951</v>
      </c>
    </row>
    <row r="44" spans="1:17" s="27" customFormat="1" ht="15.75" x14ac:dyDescent="0.25">
      <c r="A44" s="27">
        <v>40</v>
      </c>
      <c r="B44" s="30">
        <v>43556</v>
      </c>
      <c r="C44" s="40">
        <v>0.3715</v>
      </c>
      <c r="D44" s="42">
        <f t="shared" si="1"/>
        <v>1.0037149999999999</v>
      </c>
      <c r="E44" s="48">
        <f>D44*D45*D46*D47*D48*D49*D50*D51*D52*D53*D54*D55*D56*D57*D58*D59*D60*D61*D62*D63*D64*D65*D66*D67*D68*D69*D70*D71*D72*D73*D74*D75*D76*D77*D78*D79*D80*D81*D82*D83*D84*D85*D86*D87*D88*D89</f>
        <v>1.1689734219591172</v>
      </c>
    </row>
    <row r="45" spans="1:17" s="27" customFormat="1" ht="15.75" x14ac:dyDescent="0.25">
      <c r="A45" s="27">
        <v>41</v>
      </c>
      <c r="B45" s="30">
        <v>43586</v>
      </c>
      <c r="C45" s="40">
        <v>0.3715</v>
      </c>
      <c r="D45" s="42">
        <f t="shared" si="1"/>
        <v>1.0037149999999999</v>
      </c>
      <c r="E45" s="48">
        <f>D45*D46*D47*D48*D49*D50*D51*D52*D53*D54*D55*D56*D57*D58*D59*D60*D61*D62*D63*D64*D65*D66*D67*D68*D69*D70*D71*D72*D73*D74*D75*D76*D77*D78*D79*D80*D81*D82*D83*D84*D85*D86*D87*D88*D89</f>
        <v>1.1646467592485086</v>
      </c>
    </row>
    <row r="46" spans="1:17" s="27" customFormat="1" ht="15.75" x14ac:dyDescent="0.25">
      <c r="A46" s="27">
        <v>42</v>
      </c>
      <c r="B46" s="30">
        <v>43617</v>
      </c>
      <c r="C46" s="40">
        <v>0.3715</v>
      </c>
      <c r="D46" s="42">
        <f t="shared" si="1"/>
        <v>1.0037149999999999</v>
      </c>
      <c r="E46" s="48">
        <f>D46*D47*D48*D49*D50*D51*D52*D53*D54*D55*D56*D57*D58*D59*D60*D61*D62*D63*D64*D65*D66*D67*D68*D69*D70*D71*D72*D73*D74*D75*D76*D77*D78*D79*D80*D81*D82*D83*D84*D85*D86*D87*D88*D89</f>
        <v>1.1603361105976393</v>
      </c>
      <c r="F46" s="29"/>
      <c r="G46" s="29"/>
      <c r="H46" s="29"/>
      <c r="I46" s="29"/>
      <c r="J46" s="29"/>
      <c r="K46" s="29"/>
      <c r="L46" s="29"/>
      <c r="M46" s="29"/>
    </row>
    <row r="47" spans="1:17" s="27" customFormat="1" ht="15.75" x14ac:dyDescent="0.25">
      <c r="A47" s="27">
        <v>43</v>
      </c>
      <c r="B47" s="30">
        <v>43647</v>
      </c>
      <c r="C47" s="40">
        <v>0.3715</v>
      </c>
      <c r="D47" s="42">
        <f t="shared" si="1"/>
        <v>1.0037149999999999</v>
      </c>
      <c r="E47" s="48">
        <f>D47*D48*D49*D50*D51*D52*D53*D54*D55*D56*D57*D58*D59*D60*D61*D62*D63*D64*D65*D66*D67*D68*D69*D70*D71*D72*D73*D74*D75*D76*D77*D78*D79*D80*D81*D82*D83*D84*D85*D86*D87*D88*D89</f>
        <v>1.1560414167344706</v>
      </c>
      <c r="F47" s="29"/>
      <c r="G47" s="29"/>
      <c r="H47" s="29"/>
      <c r="I47" s="29"/>
      <c r="J47" s="29"/>
      <c r="K47" s="29"/>
      <c r="L47" s="29"/>
      <c r="M47" s="29"/>
    </row>
    <row r="48" spans="1:17" s="27" customFormat="1" ht="15.75" x14ac:dyDescent="0.25">
      <c r="A48" s="27">
        <v>44</v>
      </c>
      <c r="B48" s="30">
        <v>43678</v>
      </c>
      <c r="C48" s="40">
        <v>0.34339999999999998</v>
      </c>
      <c r="D48" s="42">
        <f t="shared" si="1"/>
        <v>1.0034339999999999</v>
      </c>
      <c r="E48" s="48">
        <f>D48*D49*D50*D51*D52*D53*D54*D55*D56*D57*D58*D59*D60*D61*D62*D63*D64*D65*D66*D67*D68*D69*D70*D71*D72*D73*D74*D75*D76*D77*D78*D79*D80*D81*D82*D83*D84*D85*D86*D87*D88*D89</f>
        <v>1.1517626186063474</v>
      </c>
      <c r="F48" s="29"/>
      <c r="G48" s="29"/>
      <c r="H48" s="29"/>
      <c r="I48" s="29"/>
      <c r="J48" s="29"/>
      <c r="K48" s="29"/>
      <c r="L48" s="29"/>
      <c r="M48" s="29"/>
    </row>
    <row r="49" spans="1:18" s="27" customFormat="1" ht="15.75" x14ac:dyDescent="0.25">
      <c r="A49" s="27">
        <v>45</v>
      </c>
      <c r="B49" s="30">
        <v>43709</v>
      </c>
      <c r="C49" s="40">
        <v>0.34339999999999998</v>
      </c>
      <c r="D49" s="42">
        <f t="shared" si="1"/>
        <v>1.0034339999999999</v>
      </c>
      <c r="E49" s="48">
        <f>D49*D50*D51*D52*D53*D54*D55*D56*D57*D58*D59*D60*D61*D62*D63*D64*D65*D66*D67*D68*D69*D70*D71*D72*D73*D74*D75*D76*D77*D78*D79*D80*D81*D82*D83*D84*D85*D86*D87*D88*D89</f>
        <v>1.1478210012879257</v>
      </c>
      <c r="F49" s="29"/>
      <c r="G49" s="29"/>
      <c r="H49" s="29"/>
      <c r="I49" s="29"/>
      <c r="J49" s="29"/>
      <c r="K49" s="29"/>
      <c r="L49" s="29"/>
      <c r="M49" s="29"/>
    </row>
    <row r="50" spans="1:18" s="27" customFormat="1" ht="15.75" x14ac:dyDescent="0.25">
      <c r="A50" s="27">
        <v>46</v>
      </c>
      <c r="B50" s="30">
        <v>43739</v>
      </c>
      <c r="C50" s="40">
        <v>0.31530000000000002</v>
      </c>
      <c r="D50" s="42">
        <f t="shared" si="1"/>
        <v>1.003153</v>
      </c>
      <c r="E50" s="48">
        <f>D50*D51*D52*D53*D54*D55*D56*D57*D58*D59*D60*D61*D62*D63*D64*D65*D66*D67*D68*D69*D70*D71*D72*D73*D74*D75*D76*D77*D78*D79*D80*D81*D82*D83*D84*D85*D86*D87*D88*D89</f>
        <v>1.143892873161489</v>
      </c>
      <c r="F50" s="29"/>
      <c r="G50" s="29"/>
      <c r="H50" s="29"/>
      <c r="I50" s="29"/>
      <c r="J50" s="29"/>
      <c r="K50" s="29"/>
      <c r="L50" s="29"/>
      <c r="M50" s="29"/>
    </row>
    <row r="51" spans="1:18" s="27" customFormat="1" ht="15.75" x14ac:dyDescent="0.25">
      <c r="A51" s="27">
        <v>47</v>
      </c>
      <c r="B51" s="30">
        <v>43770</v>
      </c>
      <c r="C51" s="40">
        <v>0.28710000000000002</v>
      </c>
      <c r="D51" s="42">
        <f t="shared" si="1"/>
        <v>1.0028710000000001</v>
      </c>
      <c r="E51" s="48">
        <f>D51*D52*D53*D54*D55*D56*D57*D58*D59*D60*D61*D62*D63*D64*D65*D66*D67*D68*D69*D70*D71*D72*D73*D74*D75*D76*D77*D78*D79*D80*D81*D82*D83*D84*D85*D86*D87*D88*D89</f>
        <v>1.1402975150963901</v>
      </c>
      <c r="F51" s="29"/>
      <c r="G51" s="29"/>
      <c r="H51" s="29"/>
      <c r="I51" s="29"/>
      <c r="J51" s="29"/>
      <c r="K51" s="29"/>
      <c r="L51" s="29"/>
      <c r="M51" s="29"/>
    </row>
    <row r="52" spans="1:18" s="27" customFormat="1" ht="15.75" x14ac:dyDescent="0.25">
      <c r="A52" s="27">
        <v>48</v>
      </c>
      <c r="B52" s="30">
        <v>43800</v>
      </c>
      <c r="C52" s="40">
        <v>0.28710000000000002</v>
      </c>
      <c r="D52" s="42">
        <f t="shared" si="1"/>
        <v>1.0028710000000001</v>
      </c>
      <c r="E52" s="48">
        <f>D52*D53*D54*D55*D56*D57*D58*D59*D60*D61*D62*D63*D64*D65*D66*D67*D68*D69*D70*D71*D72*D73*D74*D75*D76*D77*D78*D79*D80*D81*D82*D83*D84*D85*D86*D87*D88*D89</f>
        <v>1.137033093086139</v>
      </c>
      <c r="F52" s="29"/>
      <c r="G52" s="29"/>
      <c r="H52" s="29"/>
      <c r="I52" s="29"/>
      <c r="J52" s="29"/>
      <c r="K52" s="29"/>
      <c r="L52" s="29"/>
      <c r="M52" s="29"/>
    </row>
    <row r="53" spans="1:18" s="27" customFormat="1" ht="15.75" x14ac:dyDescent="0.25">
      <c r="A53" s="43">
        <v>49</v>
      </c>
      <c r="B53" s="44">
        <v>43831</v>
      </c>
      <c r="C53" s="45">
        <v>0.25879999999999997</v>
      </c>
      <c r="D53" s="46">
        <f t="shared" si="1"/>
        <v>1.002588</v>
      </c>
      <c r="E53" s="43">
        <f>D53*D54*D55*D56*D57*D58*D59*D60*D61*D62*D63*D64*D65*D66*D67*D68*D69*D70*D71*D72*D73*D74*D75*D76*D77*D78*D79*D80*D81*D82*D83*D84*D85*D86*D87*D88*D89</f>
        <v>1.1337780164010518</v>
      </c>
      <c r="F53" s="29"/>
      <c r="G53" s="29"/>
      <c r="H53" s="29"/>
      <c r="I53" s="29"/>
      <c r="J53" s="29"/>
      <c r="K53" s="29"/>
      <c r="L53" s="29"/>
      <c r="M53" s="29"/>
    </row>
    <row r="54" spans="1:18" s="27" customFormat="1" ht="15.75" x14ac:dyDescent="0.25">
      <c r="A54" s="27">
        <v>50</v>
      </c>
      <c r="B54" s="30">
        <v>43862</v>
      </c>
      <c r="C54" s="40">
        <v>0.25879999999999997</v>
      </c>
      <c r="D54" s="42">
        <f t="shared" si="1"/>
        <v>1.002588</v>
      </c>
      <c r="E54" s="48">
        <f>D54*D55*D56*D57*D58*D59*D60*D61*D62*D63*D64*D65*D66*D67*D68*D69*D70*D71*D72*D73*D74*D75*D76*D77*D78*D79*D80*D81*D82*D83*D84*D85*D86*D87*D88*D89</f>
        <v>1.1308513730476053</v>
      </c>
      <c r="F54" s="29"/>
      <c r="G54" s="29"/>
      <c r="H54" s="29"/>
      <c r="I54" s="29"/>
      <c r="J54" s="29"/>
      <c r="K54" s="29"/>
      <c r="L54" s="29"/>
      <c r="M54" s="29"/>
    </row>
    <row r="55" spans="1:18" s="27" customFormat="1" ht="15.75" x14ac:dyDescent="0.25">
      <c r="A55" s="27">
        <v>51</v>
      </c>
      <c r="B55" s="30">
        <v>43891</v>
      </c>
      <c r="C55" s="40">
        <v>0.24460000000000001</v>
      </c>
      <c r="D55" s="42">
        <f t="shared" si="1"/>
        <v>1.0024459999999999</v>
      </c>
      <c r="E55" s="48">
        <f>D55*D56*D57*D58*D59*D60*D61*D62*D63*D64*D65*D66*D67*D68*D69*D70*D71*D72*D73*D74*D75*D76*D77*D78*D79*D80*D81*D82*D83*D84*D85*D86*D87*D88*D89</f>
        <v>1.1279322842958472</v>
      </c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9"/>
    </row>
    <row r="56" spans="1:18" s="27" customFormat="1" ht="15.75" x14ac:dyDescent="0.25">
      <c r="A56" s="27">
        <v>52</v>
      </c>
      <c r="B56" s="30">
        <v>43922</v>
      </c>
      <c r="C56" s="40">
        <v>0.2162</v>
      </c>
      <c r="D56" s="42">
        <f t="shared" si="1"/>
        <v>1.002162</v>
      </c>
      <c r="E56" s="48">
        <f>D56*D57*D58*D59*D60*D61*D62*D63*D64*D65*D66*D67*D68*D69*D70*D71*D72*D73*D74*D75*D76*D77*D78*D79*D80*D81*D82*D83*D84*D85*D86*D87*D88*D89</f>
        <v>1.1251800937864458</v>
      </c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8" s="27" customFormat="1" ht="15.75" x14ac:dyDescent="0.25">
      <c r="A57" s="27">
        <v>53</v>
      </c>
      <c r="B57" s="30">
        <v>43952</v>
      </c>
      <c r="C57" s="40">
        <v>0.2162</v>
      </c>
      <c r="D57" s="42">
        <f t="shared" si="1"/>
        <v>1.002162</v>
      </c>
      <c r="E57" s="48">
        <f>D57*D58*D59*D60*D61*D62*D63*D64*D65*D66*D67*D68*D69*D70*D71*D72*D73*D74*D75*D76*D77*D78*D79*D80*D81*D82*D83*D84*D85*D86*D87*D88*D89</f>
        <v>1.1227527024437618</v>
      </c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</row>
    <row r="58" spans="1:18" s="27" customFormat="1" ht="15.75" x14ac:dyDescent="0.25">
      <c r="A58" s="27">
        <v>54</v>
      </c>
      <c r="B58" s="30">
        <v>43983</v>
      </c>
      <c r="C58" s="40">
        <v>0.17330000000000001</v>
      </c>
      <c r="D58" s="42">
        <f t="shared" si="1"/>
        <v>1.001733</v>
      </c>
      <c r="E58" s="48">
        <f>D58*D59*D60*D61*D62*D63*D64*D65*D66*D67*D68*D69*D70*D71*D72*D73*D74*D75*D76*D77*D78*D79*D80*D81*D82*D83*D84*D85*D86*D87*D88*D89</f>
        <v>1.1203305477994201</v>
      </c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</row>
    <row r="59" spans="1:18" s="27" customFormat="1" ht="15.75" x14ac:dyDescent="0.25">
      <c r="A59" s="27">
        <v>55</v>
      </c>
      <c r="B59" s="30">
        <v>44013</v>
      </c>
      <c r="C59" s="40">
        <v>0.1303</v>
      </c>
      <c r="D59" s="42">
        <f t="shared" si="1"/>
        <v>1.0013030000000001</v>
      </c>
      <c r="E59" s="48">
        <f>D59*D60*D61*D62*D63*D64*D65*D66*D67*D68*D69*D70*D71*D72*D73*D74*D75*D76*D77*D78*D79*D80*D81*D82*D83*D84*D85*D86*D87*D88*D89</f>
        <v>1.118392373815597</v>
      </c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</row>
    <row r="60" spans="1:18" s="27" customFormat="1" ht="15.75" x14ac:dyDescent="0.25">
      <c r="A60" s="27">
        <v>56</v>
      </c>
      <c r="B60" s="30">
        <v>44044</v>
      </c>
      <c r="C60" s="40">
        <v>0.1303</v>
      </c>
      <c r="D60" s="42">
        <f t="shared" si="1"/>
        <v>1.0013030000000001</v>
      </c>
      <c r="E60" s="50">
        <f>D60*D61*D62*D63*D64*D65*D66*D67*D68*D69*D70*D71*D72*D73*D74*D75*D76*D77*D78*D79*D80*D81*D82*D83*D84*D85*D86*D87*D88*D89</f>
        <v>1.1169370048982152</v>
      </c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</row>
    <row r="61" spans="1:18" s="27" customFormat="1" ht="15.75" x14ac:dyDescent="0.25">
      <c r="A61" s="27">
        <v>57</v>
      </c>
      <c r="B61" s="30">
        <v>44075</v>
      </c>
      <c r="C61" s="40">
        <v>0.1159</v>
      </c>
      <c r="D61" s="42">
        <f t="shared" si="1"/>
        <v>1.0011589999999999</v>
      </c>
      <c r="E61" s="48">
        <f>D61*D62*D63*D64*D65*D66*D67*D68*D69*D70*D71*D72*D73*D74*D75*D76*D77*D78*D79*D80*D81*D82*D83*D84*D85*D86*D87*D88*D89</f>
        <v>1.1154835298588091</v>
      </c>
      <c r="F61" s="29"/>
      <c r="G61" s="29"/>
      <c r="H61" s="29"/>
      <c r="I61" s="29"/>
      <c r="J61" s="29"/>
      <c r="K61" s="33"/>
      <c r="L61" s="33"/>
      <c r="M61" s="33"/>
      <c r="N61" s="33"/>
      <c r="O61" s="33"/>
      <c r="P61" s="33"/>
      <c r="Q61" s="33"/>
      <c r="R61" s="29"/>
    </row>
    <row r="62" spans="1:18" s="27" customFormat="1" ht="15.75" x14ac:dyDescent="0.25">
      <c r="A62" s="27">
        <v>58</v>
      </c>
      <c r="B62" s="30">
        <v>44105</v>
      </c>
      <c r="C62" s="40">
        <v>0.1159</v>
      </c>
      <c r="D62" s="42">
        <f t="shared" si="1"/>
        <v>1.0011589999999999</v>
      </c>
      <c r="E62" s="48">
        <f>D62*D63*D64*D65*D66*D67*D68*D69*D70*D71*D72*D73*D74*D75*D76*D77*D78*D79*D80*D81*D82*D83*D84*D85*D86*D87*D88*D89</f>
        <v>1.1141921811208895</v>
      </c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</row>
    <row r="63" spans="1:18" s="27" customFormat="1" ht="15.75" x14ac:dyDescent="0.25">
      <c r="A63" s="27">
        <v>59</v>
      </c>
      <c r="B63" s="30">
        <v>44136</v>
      </c>
      <c r="C63" s="40">
        <v>0.1159</v>
      </c>
      <c r="D63" s="42">
        <f t="shared" si="1"/>
        <v>1.0011589999999999</v>
      </c>
      <c r="E63" s="48">
        <f>D63*D64*D65*D66*D67*D68*D69*D70*D71*D72*D73*D74*D75*D76*D77*D78*D79*D80*D81*D82*D83*D84*D85*D86*D87*D88*D89</f>
        <v>1.1129023273235221</v>
      </c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s="27" customFormat="1" ht="15.75" x14ac:dyDescent="0.25">
      <c r="A64" s="27">
        <v>60</v>
      </c>
      <c r="B64" s="30">
        <v>44166</v>
      </c>
      <c r="C64" s="40">
        <v>0.1159</v>
      </c>
      <c r="D64" s="42">
        <f t="shared" si="1"/>
        <v>1.0011589999999999</v>
      </c>
      <c r="E64" s="48">
        <f>D64*D65*D66*D67*D68*D69*D70*D71*D72*D73*D74*D75*D76*D77*D78*D79*D80*D81*D82*D83*D84*D85*D86*D87*D88*D89</f>
        <v>1.1116139667360747</v>
      </c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</row>
    <row r="65" spans="1:18" s="27" customFormat="1" ht="15.75" x14ac:dyDescent="0.25">
      <c r="A65" s="43">
        <v>61</v>
      </c>
      <c r="B65" s="44">
        <v>44197</v>
      </c>
      <c r="C65" s="45">
        <v>0.1159</v>
      </c>
      <c r="D65" s="46">
        <f t="shared" si="1"/>
        <v>1.0011589999999999</v>
      </c>
      <c r="E65" s="43">
        <f>D65*D66*D67*D68*D69*D70*D71*D72*D73*D74*D75*D76*D77*D78*D79*D80*D81*D82*D83*D84*D85*D86*D87*D88*D89</f>
        <v>1.110327097629922</v>
      </c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s="27" customFormat="1" ht="15.75" x14ac:dyDescent="0.25">
      <c r="A66" s="27">
        <v>62</v>
      </c>
      <c r="B66" s="30">
        <v>44228</v>
      </c>
      <c r="C66" s="40">
        <v>0.1159</v>
      </c>
      <c r="D66" s="42">
        <f t="shared" si="1"/>
        <v>1.0011589999999999</v>
      </c>
      <c r="E66" s="48">
        <f>D66*D67*D68*D69*D70*D71*D72*D73*D74*D75*D76*D77*D78*D79*D80*D81*D82*D83*D84*D85*D86*D87*D88*D89</f>
        <v>1.1090417182784373</v>
      </c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</row>
    <row r="67" spans="1:18" s="27" customFormat="1" ht="15.75" x14ac:dyDescent="0.25">
      <c r="A67" s="27">
        <v>63</v>
      </c>
      <c r="B67" s="30">
        <v>44256</v>
      </c>
      <c r="C67" s="40">
        <v>0.1159</v>
      </c>
      <c r="D67" s="42">
        <f t="shared" si="1"/>
        <v>1.0011589999999999</v>
      </c>
      <c r="E67" s="48">
        <f>D67*D68*D69*D70*D71*D72*D73*D74*D75*D76*D77*D78*D79*D80*D81*D82*D83*D84*D85*D86*D87*D88*D89</f>
        <v>1.1077578269569945</v>
      </c>
      <c r="F67" s="29"/>
      <c r="G67" s="29"/>
      <c r="H67" s="29"/>
      <c r="I67" s="29"/>
      <c r="J67" s="29"/>
      <c r="K67" s="29"/>
      <c r="L67" s="29"/>
      <c r="M67" s="29"/>
    </row>
    <row r="68" spans="1:18" s="27" customFormat="1" ht="15.75" x14ac:dyDescent="0.25">
      <c r="A68" s="27">
        <v>64</v>
      </c>
      <c r="B68" s="30">
        <v>44287</v>
      </c>
      <c r="C68" s="40">
        <v>0.1159</v>
      </c>
      <c r="D68" s="42">
        <f t="shared" si="1"/>
        <v>1.0011589999999999</v>
      </c>
      <c r="E68" s="48">
        <f>D68*D69*D70*D71*D72*D73*D74*D75*D76*D77*D78*D79*D80*D81*D82*D83*D84*D85*D86*D87*D88*D89</f>
        <v>1.1064754219429624</v>
      </c>
      <c r="F68" s="29"/>
      <c r="G68" s="29"/>
      <c r="H68" s="29"/>
      <c r="I68" s="29"/>
      <c r="J68" s="29"/>
      <c r="K68" s="29"/>
      <c r="L68" s="29"/>
      <c r="M68" s="29"/>
    </row>
    <row r="69" spans="1:18" s="27" customFormat="1" ht="15.75" x14ac:dyDescent="0.25">
      <c r="A69" s="27">
        <v>65</v>
      </c>
      <c r="B69" s="30">
        <v>44317</v>
      </c>
      <c r="C69" s="41">
        <v>0.1159</v>
      </c>
      <c r="D69" s="42">
        <f t="shared" si="1"/>
        <v>1.0011589999999999</v>
      </c>
      <c r="E69" s="48">
        <f>D69*D70*D71*D72*D73*D74*D75*D76*D77*D78*D79*D80*D81*D82*D83*D84*D85*D86*D87*D88*D89</f>
        <v>1.1051945015157061</v>
      </c>
      <c r="F69" s="29"/>
      <c r="G69" s="29"/>
      <c r="H69" s="29"/>
      <c r="I69" s="29"/>
      <c r="J69" s="29"/>
      <c r="K69" s="29"/>
      <c r="L69" s="29"/>
      <c r="M69" s="29"/>
    </row>
    <row r="70" spans="1:18" s="27" customFormat="1" ht="15.75" x14ac:dyDescent="0.25">
      <c r="A70" s="27">
        <v>66</v>
      </c>
      <c r="B70" s="30">
        <v>44348</v>
      </c>
      <c r="C70" s="41">
        <v>0.2019</v>
      </c>
      <c r="D70" s="42">
        <f t="shared" si="1"/>
        <v>1.002019</v>
      </c>
      <c r="E70" s="48">
        <f>D70*D71*D72*D73*D74*D75*D76*D77*D78*D79*D80*D81*D82*D83*D84*D85*D86*D87*D88*D89</f>
        <v>1.1039150639565802</v>
      </c>
      <c r="F70" s="29"/>
      <c r="G70" s="29"/>
      <c r="H70" s="29"/>
      <c r="I70" s="29"/>
      <c r="J70" s="29"/>
      <c r="K70" s="29"/>
      <c r="L70" s="29"/>
      <c r="M70" s="29"/>
    </row>
    <row r="71" spans="1:18" s="27" customFormat="1" ht="15.75" x14ac:dyDescent="0.25">
      <c r="A71" s="27">
        <v>67</v>
      </c>
      <c r="B71" s="30">
        <v>44378</v>
      </c>
      <c r="C71" s="41">
        <v>0.24460000000000001</v>
      </c>
      <c r="D71" s="42">
        <f t="shared" si="1"/>
        <v>1.0024459999999999</v>
      </c>
      <c r="E71" s="48">
        <f>D71*D72*D73*D74*D75*D76*D77*D78*D79*D80*D81*D82*D83*D84*D85*D86*D87*D88*D89</f>
        <v>1.1016907503316609</v>
      </c>
      <c r="F71" s="29"/>
      <c r="G71" s="29"/>
      <c r="H71" s="29"/>
      <c r="I71" s="29"/>
      <c r="J71" s="29"/>
      <c r="K71" s="29"/>
      <c r="L71" s="29"/>
      <c r="M71" s="29"/>
    </row>
    <row r="72" spans="1:18" s="27" customFormat="1" ht="15.75" x14ac:dyDescent="0.25">
      <c r="A72" s="27">
        <v>68</v>
      </c>
      <c r="B72" s="30">
        <v>44409</v>
      </c>
      <c r="C72" s="41">
        <v>0.24460000000000001</v>
      </c>
      <c r="D72" s="42">
        <f t="shared" si="1"/>
        <v>1.0024459999999999</v>
      </c>
      <c r="E72" s="48">
        <f>D72*D73*D74*D75*D76*D77*D78*D79*D80*D81*D82*D83*D84*D85*D86*D87*D88*D89</f>
        <v>1.0990025899965297</v>
      </c>
      <c r="F72" s="29"/>
      <c r="G72" s="29"/>
      <c r="H72" s="29"/>
      <c r="I72" s="29"/>
      <c r="J72" s="29"/>
      <c r="K72" s="29"/>
      <c r="L72" s="29"/>
      <c r="M72" s="29"/>
    </row>
    <row r="73" spans="1:18" s="27" customFormat="1" ht="15.75" x14ac:dyDescent="0.25">
      <c r="A73" s="27">
        <v>69</v>
      </c>
      <c r="B73" s="30">
        <v>44440</v>
      </c>
      <c r="C73" s="41">
        <v>0.30120000000000002</v>
      </c>
      <c r="D73" s="42">
        <f t="shared" si="1"/>
        <v>1.003012</v>
      </c>
      <c r="E73" s="48">
        <f>D73*D74*D75*D76*D77*D78*D79*D80*D81*D82*D83*D84*D85*D86*D87*D88*D89</f>
        <v>1.0963209888577838</v>
      </c>
      <c r="F73" s="29"/>
      <c r="G73" s="29"/>
      <c r="H73" s="29"/>
      <c r="I73" s="29"/>
      <c r="J73" s="29"/>
      <c r="K73" s="29"/>
      <c r="L73" s="29"/>
      <c r="M73" s="29"/>
    </row>
    <row r="74" spans="1:18" s="27" customFormat="1" ht="15.75" x14ac:dyDescent="0.25">
      <c r="A74" s="27">
        <v>70</v>
      </c>
      <c r="B74" s="30">
        <v>44470</v>
      </c>
      <c r="C74" s="41">
        <v>0.35749999999999998</v>
      </c>
      <c r="D74" s="42">
        <f t="shared" si="1"/>
        <v>1.0035750000000001</v>
      </c>
      <c r="E74" s="48">
        <f>D74*D75*D76*D77*D78*D79*D80*D81*D82*D83*D84*D85*D86*D87*D88*D89</f>
        <v>1.0930287861538877</v>
      </c>
      <c r="F74" s="29"/>
      <c r="G74" s="29"/>
      <c r="H74" s="29"/>
      <c r="I74" s="29"/>
      <c r="J74" s="29"/>
      <c r="K74" s="29"/>
      <c r="L74" s="29"/>
      <c r="M74" s="29"/>
    </row>
    <row r="75" spans="1:18" s="27" customFormat="1" ht="15.75" x14ac:dyDescent="0.25">
      <c r="A75" s="27">
        <v>71</v>
      </c>
      <c r="B75" s="30">
        <v>44501</v>
      </c>
      <c r="C75" s="41">
        <v>0.44119999999999998</v>
      </c>
      <c r="D75" s="42">
        <f t="shared" si="1"/>
        <v>1.0044120000000001</v>
      </c>
      <c r="E75" s="48">
        <f>D75*D76*D77*D78*D79*D80*D81*D82*D83*D84*D85*D86*D87*D88*D89</f>
        <v>1.0891351280710342</v>
      </c>
      <c r="F75" s="29"/>
      <c r="G75" s="29"/>
      <c r="H75" s="29"/>
      <c r="I75" s="29"/>
      <c r="J75" s="29"/>
      <c r="K75" s="29"/>
      <c r="L75" s="29"/>
      <c r="M75" s="29"/>
    </row>
    <row r="76" spans="1:18" s="27" customFormat="1" ht="15.75" x14ac:dyDescent="0.25">
      <c r="A76" s="27">
        <v>72</v>
      </c>
      <c r="B76" s="30">
        <v>44531</v>
      </c>
      <c r="C76" s="41">
        <v>0.49020000000000002</v>
      </c>
      <c r="D76" s="42">
        <f t="shared" si="1"/>
        <v>1.004902</v>
      </c>
      <c r="E76" s="48">
        <f>D76*D77*D78*D79*D80*D81*D82*D83*D84*D85*D86*D87*D88*D89</f>
        <v>1.0843509715844033</v>
      </c>
      <c r="F76" s="29"/>
      <c r="G76" s="29"/>
      <c r="H76" s="29"/>
      <c r="I76" s="29"/>
      <c r="J76" s="29"/>
      <c r="K76" s="29"/>
      <c r="L76" s="29"/>
      <c r="M76" s="29"/>
    </row>
    <row r="77" spans="1:18" s="27" customFormat="1" ht="15.75" x14ac:dyDescent="0.25">
      <c r="A77" s="43">
        <v>73</v>
      </c>
      <c r="B77" s="44">
        <v>44562</v>
      </c>
      <c r="C77" s="45">
        <v>0.56079999999999997</v>
      </c>
      <c r="D77" s="46">
        <f t="shared" si="1"/>
        <v>1.0056080000000001</v>
      </c>
      <c r="E77" s="43">
        <f>D77*D78*D79*D80*D81*D82*D83*D84*D85*D86*D87*D88*D89</f>
        <v>1.0790614125401314</v>
      </c>
      <c r="F77" s="29"/>
      <c r="G77" s="29"/>
      <c r="H77" s="29"/>
      <c r="I77" s="29"/>
      <c r="J77" s="29"/>
      <c r="K77" s="29"/>
      <c r="L77" s="29"/>
      <c r="M77" s="29"/>
    </row>
    <row r="78" spans="1:18" s="27" customFormat="1" ht="15.75" x14ac:dyDescent="0.25">
      <c r="A78" s="27">
        <v>74</v>
      </c>
      <c r="B78" s="30">
        <v>44593</v>
      </c>
      <c r="C78" s="41">
        <v>0.5</v>
      </c>
      <c r="D78" s="42">
        <f t="shared" si="1"/>
        <v>1.0049999999999999</v>
      </c>
      <c r="E78" s="50">
        <f>D78*D79*D80*D81*D82*D83*D84*D85*D86*D87*D88*D89</f>
        <v>1.0730437830050392</v>
      </c>
      <c r="F78" s="29"/>
      <c r="G78" s="29"/>
      <c r="H78" s="29"/>
      <c r="I78" s="29"/>
      <c r="J78" s="29"/>
      <c r="K78" s="29"/>
      <c r="L78" s="29"/>
      <c r="M78" s="29"/>
    </row>
    <row r="79" spans="1:18" s="27" customFormat="1" ht="15.75" x14ac:dyDescent="0.25">
      <c r="A79" s="27">
        <v>75</v>
      </c>
      <c r="B79" s="30">
        <v>44621</v>
      </c>
      <c r="C79" s="41">
        <v>0.59760000000000002</v>
      </c>
      <c r="D79" s="42">
        <f t="shared" si="1"/>
        <v>1.005976</v>
      </c>
      <c r="E79" s="50">
        <f>D79*D80*D81*D82*D83*D84*D85*D86*D87*D88*D89</f>
        <v>1.067705256721432</v>
      </c>
      <c r="F79" s="29"/>
      <c r="G79" s="29"/>
      <c r="H79" s="29"/>
      <c r="I79" s="29"/>
      <c r="J79" s="29"/>
      <c r="K79" s="29"/>
      <c r="L79" s="29"/>
      <c r="M79" s="29"/>
    </row>
    <row r="80" spans="1:18" s="27" customFormat="1" ht="15.75" x14ac:dyDescent="0.25">
      <c r="A80" s="27">
        <v>76</v>
      </c>
      <c r="B80" s="30">
        <v>44652</v>
      </c>
      <c r="C80" s="41">
        <v>0.55579999999999996</v>
      </c>
      <c r="D80" s="42">
        <f t="shared" si="1"/>
        <v>1.005558</v>
      </c>
      <c r="E80" s="50">
        <f>D80*D81*D82*D83*D84*D85*D86*D87*D88*D89</f>
        <v>1.0613625540981417</v>
      </c>
      <c r="F80" s="29"/>
      <c r="G80" s="29"/>
      <c r="H80" s="29"/>
      <c r="I80" s="29"/>
      <c r="J80" s="29"/>
      <c r="K80" s="29"/>
      <c r="L80" s="29"/>
      <c r="M80" s="29"/>
    </row>
    <row r="81" spans="1:13" s="27" customFormat="1" ht="15.75" x14ac:dyDescent="0.25">
      <c r="A81" s="27">
        <v>77</v>
      </c>
      <c r="B81" s="30">
        <v>44682</v>
      </c>
      <c r="C81" s="41">
        <v>0.66710000000000003</v>
      </c>
      <c r="D81" s="42">
        <f t="shared" ref="D81:D88" si="2">C81/100+1</f>
        <v>1.0066710000000001</v>
      </c>
      <c r="E81" s="50">
        <f>D81*D82*D83*D84*D85*D86*D87*D88*D89</f>
        <v>1.0554961067368982</v>
      </c>
      <c r="F81" s="29"/>
      <c r="G81" s="29"/>
      <c r="H81" s="29"/>
      <c r="I81" s="29"/>
      <c r="J81" s="29"/>
      <c r="K81" s="29"/>
      <c r="L81" s="29"/>
      <c r="M81" s="29"/>
    </row>
    <row r="82" spans="1:13" s="27" customFormat="1" ht="15.75" x14ac:dyDescent="0.25">
      <c r="A82" s="27">
        <v>78</v>
      </c>
      <c r="B82" s="30">
        <v>44713</v>
      </c>
      <c r="C82" s="41">
        <v>0.64910000000000001</v>
      </c>
      <c r="D82" s="42">
        <f t="shared" si="2"/>
        <v>1.006491</v>
      </c>
      <c r="E82" s="50">
        <f>D82*D83*D84*D85*D86*D87*D88*D89</f>
        <v>1.0485015528776509</v>
      </c>
      <c r="F82" s="29"/>
      <c r="G82" s="29"/>
      <c r="H82" s="29"/>
      <c r="I82" s="29"/>
      <c r="J82" s="29"/>
      <c r="K82" s="29"/>
      <c r="L82" s="29"/>
      <c r="M82" s="29"/>
    </row>
    <row r="83" spans="1:13" s="27" customFormat="1" ht="15.75" x14ac:dyDescent="0.25">
      <c r="A83" s="27">
        <v>79</v>
      </c>
      <c r="B83" s="30">
        <v>44743</v>
      </c>
      <c r="C83" s="41">
        <v>0.66390000000000005</v>
      </c>
      <c r="D83" s="42">
        <f t="shared" si="2"/>
        <v>1.0066390000000001</v>
      </c>
      <c r="E83" s="50">
        <f>D83*D84*D85*D86*D87*D88*D89</f>
        <v>1.0417396209977547</v>
      </c>
      <c r="F83" s="29"/>
      <c r="G83" s="29"/>
      <c r="H83" s="29"/>
      <c r="I83" s="29"/>
      <c r="J83" s="29"/>
      <c r="K83" s="29"/>
      <c r="L83" s="29"/>
      <c r="M83" s="29"/>
    </row>
    <row r="84" spans="1:13" s="27" customFormat="1" ht="15.75" x14ac:dyDescent="0.25">
      <c r="A84" s="27">
        <v>80</v>
      </c>
      <c r="B84" s="30">
        <v>44774</v>
      </c>
      <c r="C84" s="41">
        <v>0.74209999999999998</v>
      </c>
      <c r="D84" s="42">
        <f t="shared" si="2"/>
        <v>1.0074209999999999</v>
      </c>
      <c r="E84" s="50">
        <f>D84*D85*D86*D87*D88*D89</f>
        <v>1.0348691248776918</v>
      </c>
    </row>
    <row r="85" spans="1:13" s="27" customFormat="1" ht="15.75" x14ac:dyDescent="0.25">
      <c r="A85" s="27">
        <v>81</v>
      </c>
      <c r="B85" s="30">
        <v>44805</v>
      </c>
      <c r="C85" s="41">
        <v>0.68140000000000001</v>
      </c>
      <c r="D85" s="42">
        <f t="shared" si="2"/>
        <v>1.0068140000000001</v>
      </c>
      <c r="E85" s="50">
        <f>D85*D86*D87*D88*D89</f>
        <v>1.0272459328103065</v>
      </c>
    </row>
    <row r="86" spans="1:13" s="27" customFormat="1" ht="15.75" x14ac:dyDescent="0.25">
      <c r="A86" s="27">
        <v>82</v>
      </c>
      <c r="B86" s="30">
        <v>44835</v>
      </c>
      <c r="C86" s="41">
        <v>0.65610000000000002</v>
      </c>
      <c r="D86" s="42">
        <f t="shared" si="2"/>
        <v>1.006561</v>
      </c>
      <c r="E86" s="50">
        <f>D86*D87*D88*D89</f>
        <v>1.0202936518664882</v>
      </c>
    </row>
    <row r="87" spans="1:13" s="27" customFormat="1" ht="15.75" x14ac:dyDescent="0.25">
      <c r="A87" s="27">
        <v>83</v>
      </c>
      <c r="B87" s="30">
        <v>44866</v>
      </c>
      <c r="C87" s="41">
        <v>0.65149999999999997</v>
      </c>
      <c r="D87" s="42">
        <f t="shared" si="2"/>
        <v>1.006515</v>
      </c>
      <c r="E87" s="50">
        <f>D87*D88*D89</f>
        <v>1.01364313923</v>
      </c>
    </row>
    <row r="88" spans="1:13" s="27" customFormat="1" ht="15.75" x14ac:dyDescent="0.25">
      <c r="A88" s="27">
        <v>84</v>
      </c>
      <c r="B88" s="30">
        <v>44896</v>
      </c>
      <c r="C88" s="41">
        <v>0.70820000000000005</v>
      </c>
      <c r="D88" s="42">
        <f t="shared" si="2"/>
        <v>1.007082</v>
      </c>
      <c r="E88" s="50">
        <f>D88*D89</f>
        <v>1.007082</v>
      </c>
    </row>
    <row r="89" spans="1:13" s="27" customFormat="1" ht="15.75" x14ac:dyDescent="0.25">
      <c r="A89" s="43">
        <v>85</v>
      </c>
      <c r="B89" s="44">
        <v>44927</v>
      </c>
      <c r="C89" s="45">
        <v>0</v>
      </c>
      <c r="D89" s="45">
        <f t="shared" ref="D89" si="3">C89/100+1</f>
        <v>1</v>
      </c>
      <c r="E89" s="51">
        <f>D89</f>
        <v>1</v>
      </c>
    </row>
    <row r="90" spans="1:13" s="27" customFormat="1" x14ac:dyDescent="0.25"/>
    <row r="91" spans="1:13" s="27" customFormat="1" x14ac:dyDescent="0.25"/>
    <row r="92" spans="1:13" s="27" customFormat="1" x14ac:dyDescent="0.25"/>
    <row r="93" spans="1:13" s="27" customFormat="1" x14ac:dyDescent="0.25"/>
    <row r="94" spans="1:13" s="27" customFormat="1" x14ac:dyDescent="0.25"/>
    <row r="95" spans="1:13" s="27" customFormat="1" x14ac:dyDescent="0.25"/>
    <row r="96" spans="1:13" s="27" customFormat="1" x14ac:dyDescent="0.25"/>
    <row r="97" s="49" customFormat="1" x14ac:dyDescent="0.25"/>
    <row r="98" s="49" customFormat="1" ht="29.1" customHeight="1" x14ac:dyDescent="0.25"/>
    <row r="99" s="49" customFormat="1" x14ac:dyDescent="0.25"/>
    <row r="100" s="49" customFormat="1" ht="19.5" customHeight="1" x14ac:dyDescent="0.25"/>
    <row r="101" s="49" customFormat="1" ht="15.75" customHeight="1" x14ac:dyDescent="0.25"/>
    <row r="102" s="49" customFormat="1" ht="15.75" customHeight="1" x14ac:dyDescent="0.25"/>
    <row r="103" s="49" customFormat="1" ht="15.75" customHeight="1" x14ac:dyDescent="0.25"/>
    <row r="104" s="49" customFormat="1" ht="15.75" customHeight="1" x14ac:dyDescent="0.25"/>
    <row r="105" s="49" customFormat="1" ht="15.75" customHeight="1" x14ac:dyDescent="0.25"/>
    <row r="106" s="49" customFormat="1" ht="15.75" customHeight="1" x14ac:dyDescent="0.25"/>
    <row r="107" s="49" customFormat="1" ht="15.75" customHeight="1" x14ac:dyDescent="0.25"/>
    <row r="108" s="49" customFormat="1" x14ac:dyDescent="0.25"/>
    <row r="109" s="49" customFormat="1" x14ac:dyDescent="0.25"/>
    <row r="110" s="49" customFormat="1" x14ac:dyDescent="0.25"/>
    <row r="111" s="49" customFormat="1" x14ac:dyDescent="0.25"/>
    <row r="112" s="49" customFormat="1" x14ac:dyDescent="0.25"/>
    <row r="113" s="49" customFormat="1" x14ac:dyDescent="0.25"/>
    <row r="114" s="49" customFormat="1" x14ac:dyDescent="0.25"/>
    <row r="115" s="49" customFormat="1" x14ac:dyDescent="0.25"/>
    <row r="116" s="49" customFormat="1" x14ac:dyDescent="0.25"/>
  </sheetData>
  <mergeCells count="1">
    <mergeCell ref="A3:E3"/>
  </mergeCells>
  <hyperlinks>
    <hyperlink ref="B1" r:id="rId1" xr:uid="{00000000-0004-0000-0100-000000000000}"/>
  </hyperlinks>
  <pageMargins left="0.78749999999999998" right="0.78749999999999998" top="1.05277777777778" bottom="1.05277777777778" header="0.78749999999999998" footer="0.78749999999999998"/>
  <pageSetup paperSize="9" orientation="portrait" horizontalDpi="300" verticalDpi="300" r:id="rId2"/>
  <headerFooter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ATUALIZA-HR-NOTURNA</vt:lpstr>
      <vt:lpstr>SELIC</vt:lpstr>
      <vt:lpstr>IPCA-E ATÉ 12-2021</vt:lpstr>
      <vt:lpstr>POUPANÇA ATÉ 12-2021</vt:lpstr>
      <vt:lpstr>POUPANÇA 16-22</vt:lpstr>
    </vt:vector>
  </TitlesOfParts>
  <Company>Policia Civil de Minas Gerais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PCMG DEPOL</dc:creator>
  <dc:description/>
  <cp:lastModifiedBy>SINDEP/MG</cp:lastModifiedBy>
  <cp:revision>27</cp:revision>
  <dcterms:created xsi:type="dcterms:W3CDTF">2021-04-27T12:12:51Z</dcterms:created>
  <dcterms:modified xsi:type="dcterms:W3CDTF">2023-12-19T12:36:05Z</dcterms:modified>
  <dc:language>pt-BR</dc:language>
</cp:coreProperties>
</file>